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Portal\2025\ANNUAL\"/>
    </mc:Choice>
  </mc:AlternateContent>
  <bookViews>
    <workbookView xWindow="-120" yWindow="-120" windowWidth="29040" windowHeight="15720"/>
  </bookViews>
  <sheets>
    <sheet name="FORM1a-ABR Office" sheetId="63" r:id="rId1"/>
    <sheet name="FORM1B-ABR Summary" sheetId="79" r:id="rId2"/>
    <sheet name="summary" sheetId="77" r:id="rId3"/>
  </sheets>
  <externalReferences>
    <externalReference r:id="rId4"/>
    <externalReference r:id="rId5"/>
    <externalReference r:id="rId6"/>
  </externalReferences>
  <definedNames>
    <definedName name="_xlnm.Print_Area" localSheetId="1">'FORM1B-ABR Summary'!$A$147:$J$210</definedName>
    <definedName name="_xlnm.Print_Area" localSheetId="2">summary!$A$1:$K$60</definedName>
    <definedName name="_xlnm.Print_Titles" localSheetId="1">'FORM1B-ABR Summary'!$147:$154</definedName>
  </definedNames>
  <calcPr calcId="162913"/>
</workbook>
</file>

<file path=xl/calcChain.xml><?xml version="1.0" encoding="utf-8"?>
<calcChain xmlns="http://schemas.openxmlformats.org/spreadsheetml/2006/main">
  <c r="J77" i="79" l="1"/>
  <c r="J81" i="79"/>
  <c r="J79" i="79"/>
  <c r="J76" i="79"/>
  <c r="I77" i="79"/>
  <c r="I76" i="79"/>
  <c r="I75" i="79"/>
  <c r="H79" i="79"/>
  <c r="H80" i="79"/>
  <c r="H75" i="79"/>
  <c r="H76" i="79"/>
  <c r="H73" i="79"/>
  <c r="I84" i="79" l="1"/>
  <c r="J84" i="79"/>
  <c r="H84" i="79"/>
  <c r="J1076" i="63" l="1"/>
  <c r="K1076" i="63"/>
  <c r="L1076" i="63"/>
  <c r="M1076" i="63"/>
  <c r="M1132" i="63"/>
  <c r="J1132" i="63"/>
  <c r="K1132" i="63"/>
  <c r="L1132" i="63"/>
  <c r="I1132" i="63"/>
  <c r="L1130" i="63"/>
  <c r="L1131" i="63"/>
  <c r="K1131" i="63"/>
  <c r="K1130" i="63"/>
  <c r="K1129" i="63"/>
  <c r="K1125" i="63"/>
  <c r="K1124" i="63"/>
  <c r="K1123" i="63"/>
  <c r="K1122" i="63"/>
  <c r="K1108" i="63"/>
  <c r="K1063" i="63"/>
  <c r="K1058" i="63"/>
  <c r="L1058" i="63" s="1"/>
  <c r="K1057" i="63"/>
  <c r="K1054" i="63"/>
  <c r="K1052" i="63"/>
  <c r="K1051" i="63"/>
  <c r="K1041" i="63"/>
  <c r="K1039" i="63"/>
  <c r="K1000" i="63"/>
  <c r="K997" i="63"/>
  <c r="L992" i="63"/>
  <c r="K992" i="63"/>
  <c r="K991" i="63"/>
  <c r="K987" i="63"/>
  <c r="K985" i="63"/>
  <c r="K984" i="63"/>
  <c r="K972" i="63"/>
  <c r="K935" i="63"/>
  <c r="K931" i="63"/>
  <c r="K929" i="63"/>
  <c r="J925" i="63"/>
  <c r="M925" i="63"/>
  <c r="K924" i="63"/>
  <c r="L924" i="63" s="1"/>
  <c r="K923" i="63"/>
  <c r="L923" i="63" s="1"/>
  <c r="K916" i="63"/>
  <c r="K914" i="63"/>
  <c r="K913" i="63"/>
  <c r="K907" i="63"/>
  <c r="K899" i="63"/>
  <c r="K857" i="63"/>
  <c r="K856" i="63"/>
  <c r="K843" i="63"/>
  <c r="K851" i="63"/>
  <c r="L851" i="63" s="1"/>
  <c r="K850" i="63"/>
  <c r="L850" i="63" s="1"/>
  <c r="K846" i="63"/>
  <c r="K845" i="63"/>
  <c r="K831" i="63"/>
  <c r="K792" i="63"/>
  <c r="K794" i="63"/>
  <c r="K791" i="63"/>
  <c r="K786" i="63"/>
  <c r="L786" i="63" s="1"/>
  <c r="K785" i="63"/>
  <c r="L785" i="63" s="1"/>
  <c r="K784" i="63"/>
  <c r="K783" i="63"/>
  <c r="K781" i="63"/>
  <c r="K780" i="63"/>
  <c r="K779" i="63"/>
  <c r="K778" i="63"/>
  <c r="K764" i="63"/>
  <c r="K708" i="63"/>
  <c r="K707" i="63"/>
  <c r="K706" i="63"/>
  <c r="K705" i="63"/>
  <c r="K693" i="63"/>
  <c r="K721" i="63"/>
  <c r="K720" i="63"/>
  <c r="K718" i="63"/>
  <c r="K716" i="63"/>
  <c r="J714" i="63"/>
  <c r="M714" i="63"/>
  <c r="K713" i="63"/>
  <c r="L713" i="63" s="1"/>
  <c r="K712" i="63"/>
  <c r="K704" i="63"/>
  <c r="K650" i="63"/>
  <c r="K648" i="63"/>
  <c r="K646" i="63"/>
  <c r="K644" i="63"/>
  <c r="J642" i="63"/>
  <c r="M642" i="63"/>
  <c r="K641" i="63"/>
  <c r="K640" i="63"/>
  <c r="L641" i="63"/>
  <c r="K636" i="63"/>
  <c r="K634" i="63"/>
  <c r="K633" i="63"/>
  <c r="K621" i="63"/>
  <c r="K586" i="63"/>
  <c r="K585" i="63"/>
  <c r="K584" i="63"/>
  <c r="K582" i="63"/>
  <c r="K580" i="63"/>
  <c r="K579" i="63"/>
  <c r="K578" i="63"/>
  <c r="J576" i="63"/>
  <c r="M576" i="63"/>
  <c r="K575" i="63"/>
  <c r="L575" i="63" s="1"/>
  <c r="K574" i="63"/>
  <c r="K570" i="63"/>
  <c r="K568" i="63"/>
  <c r="K567" i="63"/>
  <c r="K554" i="63"/>
  <c r="K514" i="63"/>
  <c r="K512" i="63"/>
  <c r="K510" i="63"/>
  <c r="M508" i="63"/>
  <c r="J508" i="63"/>
  <c r="K507" i="63"/>
  <c r="L507" i="63" s="1"/>
  <c r="K506" i="63"/>
  <c r="K502" i="63"/>
  <c r="K500" i="63"/>
  <c r="K499" i="63"/>
  <c r="K486" i="63"/>
  <c r="K447" i="63"/>
  <c r="K445" i="63"/>
  <c r="K444" i="63"/>
  <c r="K443" i="63"/>
  <c r="J441" i="63"/>
  <c r="M441" i="63"/>
  <c r="K440" i="63"/>
  <c r="L440" i="63" s="1"/>
  <c r="K439" i="63"/>
  <c r="K438" i="63"/>
  <c r="K436" i="63"/>
  <c r="K434" i="63"/>
  <c r="K433" i="63"/>
  <c r="K430" i="63"/>
  <c r="K420" i="63"/>
  <c r="K381" i="63"/>
  <c r="K380" i="63"/>
  <c r="K378" i="63"/>
  <c r="K376" i="63"/>
  <c r="M374" i="63"/>
  <c r="J374" i="63"/>
  <c r="K373" i="63"/>
  <c r="L373" i="63" s="1"/>
  <c r="K372" i="63"/>
  <c r="K368" i="63"/>
  <c r="K366" i="63"/>
  <c r="K365" i="63"/>
  <c r="K364" i="63"/>
  <c r="K360" i="63"/>
  <c r="K356" i="63"/>
  <c r="K353" i="63"/>
  <c r="K320" i="63"/>
  <c r="K319" i="63"/>
  <c r="K318" i="63"/>
  <c r="K316" i="63"/>
  <c r="J314" i="63"/>
  <c r="M314" i="63"/>
  <c r="K313" i="63"/>
  <c r="L313" i="63" s="1"/>
  <c r="K312" i="63"/>
  <c r="K308" i="63"/>
  <c r="K306" i="63"/>
  <c r="K305" i="63"/>
  <c r="K303" i="63"/>
  <c r="K296" i="63"/>
  <c r="K295" i="63"/>
  <c r="K292" i="63"/>
  <c r="K256" i="63"/>
  <c r="K253" i="63"/>
  <c r="K250" i="63"/>
  <c r="K249" i="63"/>
  <c r="K248" i="63"/>
  <c r="K246" i="63"/>
  <c r="K245" i="63"/>
  <c r="K242" i="63"/>
  <c r="L242" i="63" s="1"/>
  <c r="K241" i="63"/>
  <c r="K237" i="63"/>
  <c r="K235" i="63"/>
  <c r="K234" i="63"/>
  <c r="K229" i="63"/>
  <c r="K222" i="63"/>
  <c r="K193" i="63"/>
  <c r="L193" i="63" s="1"/>
  <c r="K179" i="63"/>
  <c r="K122" i="63"/>
  <c r="K90" i="63"/>
  <c r="K197" i="63"/>
  <c r="L197" i="63" s="1"/>
  <c r="K196" i="63"/>
  <c r="L196" i="63" s="1"/>
  <c r="K195" i="63"/>
  <c r="L195" i="63" s="1"/>
  <c r="K194" i="63"/>
  <c r="L194" i="63" s="1"/>
  <c r="K172" i="63"/>
  <c r="K164" i="63"/>
  <c r="K165" i="63"/>
  <c r="K163" i="63"/>
  <c r="K161" i="63"/>
  <c r="K159" i="63"/>
  <c r="K158" i="63"/>
  <c r="K157" i="63"/>
  <c r="K155" i="63"/>
  <c r="K153" i="63"/>
  <c r="K130" i="63"/>
  <c r="K129" i="63"/>
  <c r="K126" i="63"/>
  <c r="K124" i="63"/>
  <c r="K120" i="63" l="1"/>
  <c r="K119" i="63"/>
  <c r="K116" i="63"/>
  <c r="K113" i="63"/>
  <c r="K109" i="63"/>
  <c r="K107" i="63"/>
  <c r="K106" i="63"/>
  <c r="K102" i="63"/>
  <c r="K91" i="63"/>
  <c r="K58" i="63"/>
  <c r="K56" i="63"/>
  <c r="K53" i="63"/>
  <c r="K51" i="63"/>
  <c r="K49" i="63"/>
  <c r="K48" i="63"/>
  <c r="K47" i="63"/>
  <c r="K44" i="63"/>
  <c r="L44" i="63" s="1"/>
  <c r="K43" i="63"/>
  <c r="L43" i="63" s="1"/>
  <c r="K39" i="63"/>
  <c r="K37" i="63"/>
  <c r="K36" i="63"/>
  <c r="L36" i="63" s="1"/>
  <c r="K22" i="63"/>
  <c r="K21" i="63"/>
  <c r="L21" i="63" s="1"/>
  <c r="J21" i="77" l="1"/>
  <c r="H158" i="79"/>
  <c r="J158" i="79"/>
  <c r="H159" i="79"/>
  <c r="I159" i="79"/>
  <c r="J159" i="79"/>
  <c r="H161" i="79"/>
  <c r="J161" i="79"/>
  <c r="H162" i="79"/>
  <c r="I162" i="79"/>
  <c r="J162" i="79"/>
  <c r="H163" i="79"/>
  <c r="J163" i="79"/>
  <c r="H164" i="79"/>
  <c r="J164" i="79"/>
  <c r="H165" i="79"/>
  <c r="J165" i="79"/>
  <c r="G166" i="79"/>
  <c r="H166" i="79"/>
  <c r="I166" i="79"/>
  <c r="J166" i="79"/>
  <c r="H167" i="79"/>
  <c r="J167" i="79"/>
  <c r="H168" i="79"/>
  <c r="J168" i="79"/>
  <c r="H169" i="79"/>
  <c r="J169" i="79"/>
  <c r="H170" i="79"/>
  <c r="J170" i="79"/>
  <c r="H171" i="79"/>
  <c r="J171" i="79"/>
  <c r="J172" i="79"/>
  <c r="J173" i="79"/>
  <c r="H174" i="79"/>
  <c r="J174" i="79"/>
  <c r="H175" i="79"/>
  <c r="J175" i="79"/>
  <c r="H176" i="79"/>
  <c r="J176" i="79"/>
  <c r="H177" i="79"/>
  <c r="J177" i="79"/>
  <c r="H179" i="79"/>
  <c r="J178" i="79"/>
  <c r="H180" i="79"/>
  <c r="J180" i="79"/>
  <c r="I197" i="79"/>
  <c r="J197" i="79"/>
  <c r="H197" i="79"/>
  <c r="I196" i="79"/>
  <c r="J196" i="79"/>
  <c r="H196" i="79"/>
  <c r="I191" i="79"/>
  <c r="J191" i="79"/>
  <c r="H191" i="79"/>
  <c r="J190" i="79"/>
  <c r="H190" i="79"/>
  <c r="I189" i="79"/>
  <c r="J189" i="79"/>
  <c r="H189" i="79"/>
  <c r="H188" i="79"/>
  <c r="I188" i="79"/>
  <c r="J188" i="79"/>
  <c r="H186" i="79"/>
  <c r="I186" i="79"/>
  <c r="J186" i="79"/>
  <c r="H187" i="79"/>
  <c r="J187" i="79"/>
  <c r="H185" i="79"/>
  <c r="J185" i="79"/>
  <c r="H184" i="79"/>
  <c r="J184" i="79"/>
  <c r="J183" i="79"/>
  <c r="H183" i="79"/>
  <c r="I181" i="79" l="1"/>
  <c r="J181" i="79"/>
  <c r="J89" i="79"/>
  <c r="H89" i="79"/>
  <c r="J88" i="79"/>
  <c r="J87" i="79"/>
  <c r="J58" i="79"/>
  <c r="H58" i="79"/>
  <c r="J57" i="79"/>
  <c r="J56" i="79"/>
  <c r="H69" i="79"/>
  <c r="J69" i="79"/>
  <c r="J67" i="79"/>
  <c r="J66" i="79"/>
  <c r="H66" i="79"/>
  <c r="J65" i="79"/>
  <c r="J64" i="79"/>
  <c r="J63" i="79"/>
  <c r="H63" i="79"/>
  <c r="J62" i="79"/>
  <c r="H62" i="79"/>
  <c r="J61" i="79"/>
  <c r="H61" i="79"/>
  <c r="J60" i="79"/>
  <c r="J59" i="79"/>
  <c r="H59" i="79"/>
  <c r="J55" i="79"/>
  <c r="H55" i="79"/>
  <c r="J54" i="79"/>
  <c r="H54" i="79"/>
  <c r="J53" i="79"/>
  <c r="I52" i="79"/>
  <c r="J52" i="79"/>
  <c r="H52" i="79"/>
  <c r="J51" i="79"/>
  <c r="H51" i="79"/>
  <c r="J50" i="79"/>
  <c r="H50" i="79"/>
  <c r="J49" i="79"/>
  <c r="J90" i="79" l="1"/>
  <c r="J48" i="79"/>
  <c r="H48" i="79"/>
  <c r="I47" i="79"/>
  <c r="J47" i="79"/>
  <c r="H47" i="79"/>
  <c r="J46" i="79"/>
  <c r="J42" i="79"/>
  <c r="H42" i="79"/>
  <c r="J41" i="79"/>
  <c r="J40" i="79"/>
  <c r="H40" i="79"/>
  <c r="J39" i="79"/>
  <c r="H39" i="79"/>
  <c r="J38" i="79"/>
  <c r="J35" i="79"/>
  <c r="H36" i="79"/>
  <c r="J36" i="79"/>
  <c r="J37" i="79"/>
  <c r="J34" i="79"/>
  <c r="J33" i="79"/>
  <c r="H33" i="79"/>
  <c r="J32" i="79"/>
  <c r="H32" i="79"/>
  <c r="J31" i="79"/>
  <c r="J30" i="79"/>
  <c r="J29" i="79"/>
  <c r="H29" i="79"/>
  <c r="J28" i="79"/>
  <c r="H28" i="79"/>
  <c r="J27" i="79"/>
  <c r="H27" i="79"/>
  <c r="J26" i="79"/>
  <c r="H26" i="79"/>
  <c r="J25" i="79"/>
  <c r="H25" i="79"/>
  <c r="J24" i="79" l="1"/>
  <c r="J23" i="79"/>
  <c r="H23" i="79"/>
  <c r="J22" i="79"/>
  <c r="J21" i="79"/>
  <c r="J20" i="79"/>
  <c r="J18" i="79"/>
  <c r="H18" i="79"/>
  <c r="J17" i="79"/>
  <c r="I204" i="79"/>
  <c r="J200" i="79"/>
  <c r="I200" i="79"/>
  <c r="H200" i="79"/>
  <c r="J199" i="79"/>
  <c r="I199" i="79"/>
  <c r="H199" i="79"/>
  <c r="J198" i="79"/>
  <c r="I198" i="79"/>
  <c r="H198" i="79"/>
  <c r="J192" i="79"/>
  <c r="I192" i="79"/>
  <c r="H192" i="79"/>
  <c r="H193" i="79" s="1"/>
  <c r="J138" i="79"/>
  <c r="I138" i="79"/>
  <c r="H138" i="79"/>
  <c r="J119" i="79"/>
  <c r="I119" i="79"/>
  <c r="H119" i="79"/>
  <c r="J112" i="79"/>
  <c r="J70" i="79"/>
  <c r="I70" i="79"/>
  <c r="K49" i="79"/>
  <c r="H139" i="79" l="1"/>
  <c r="I139" i="79"/>
  <c r="I201" i="79"/>
  <c r="I193" i="79"/>
  <c r="H201" i="79"/>
  <c r="J193" i="79"/>
  <c r="J201" i="79"/>
  <c r="I43" i="79"/>
  <c r="I91" i="79" s="1"/>
  <c r="J43" i="79"/>
  <c r="J91" i="79" s="1"/>
  <c r="J139" i="79"/>
  <c r="J206" i="79" l="1"/>
  <c r="I206" i="79"/>
  <c r="G22" i="77" l="1"/>
  <c r="I22" i="77"/>
  <c r="F23" i="77"/>
  <c r="K32" i="77"/>
  <c r="K34" i="77"/>
  <c r="H36" i="77"/>
  <c r="K1095" i="63" l="1"/>
  <c r="K1027" i="63"/>
  <c r="K959" i="63"/>
  <c r="K888" i="63"/>
  <c r="K820" i="63"/>
  <c r="K751" i="63"/>
  <c r="K682" i="63"/>
  <c r="K608" i="63"/>
  <c r="K542" i="63"/>
  <c r="K474" i="63"/>
  <c r="K408" i="63"/>
  <c r="K341" i="63"/>
  <c r="K281" i="63"/>
  <c r="K211" i="63"/>
  <c r="F20" i="77"/>
  <c r="J588" i="63"/>
  <c r="M588" i="63"/>
  <c r="G24" i="77" s="1"/>
  <c r="F24" i="77"/>
  <c r="I66" i="63"/>
  <c r="J59" i="63"/>
  <c r="M59" i="63"/>
  <c r="G18" i="77" s="1"/>
  <c r="J45" i="63"/>
  <c r="M45" i="63"/>
  <c r="F18" i="77" s="1"/>
  <c r="J1152" i="63" l="1"/>
  <c r="M1152" i="63"/>
  <c r="I33" i="77" s="1"/>
  <c r="I1152" i="63"/>
  <c r="K1151" i="63"/>
  <c r="L1151" i="63" s="1"/>
  <c r="K1150" i="63"/>
  <c r="L1150" i="63" s="1"/>
  <c r="K1149" i="63"/>
  <c r="L1149" i="63" s="1"/>
  <c r="L1148" i="63"/>
  <c r="K1147" i="63"/>
  <c r="M1145" i="63"/>
  <c r="G33" i="77" s="1"/>
  <c r="J1145" i="63"/>
  <c r="I1145" i="63"/>
  <c r="K1144" i="63"/>
  <c r="L1144" i="63" s="1"/>
  <c r="K1143" i="63"/>
  <c r="L1143" i="63" s="1"/>
  <c r="K1142" i="63"/>
  <c r="K1141" i="63"/>
  <c r="K1140" i="63"/>
  <c r="K1139" i="63"/>
  <c r="L1139" i="63" s="1"/>
  <c r="K1138" i="63"/>
  <c r="K1137" i="63"/>
  <c r="K1136" i="63"/>
  <c r="K1135" i="63"/>
  <c r="K1134" i="63"/>
  <c r="F33" i="77"/>
  <c r="K1128" i="63"/>
  <c r="K1127" i="63"/>
  <c r="K1126" i="63"/>
  <c r="I1124" i="63"/>
  <c r="H173" i="79" s="1"/>
  <c r="I1123" i="63"/>
  <c r="H172" i="79" s="1"/>
  <c r="H181" i="79" s="1"/>
  <c r="K1121" i="63"/>
  <c r="K1120" i="63"/>
  <c r="K1119" i="63"/>
  <c r="K1118" i="63"/>
  <c r="L1118" i="63" s="1"/>
  <c r="K1117" i="63"/>
  <c r="K1116" i="63"/>
  <c r="L1116" i="63" s="1"/>
  <c r="K1115" i="63"/>
  <c r="K1114" i="63"/>
  <c r="K1113" i="63"/>
  <c r="K1112" i="63"/>
  <c r="K1111" i="63"/>
  <c r="K1109" i="63"/>
  <c r="L1109" i="63" s="1"/>
  <c r="M1073" i="63"/>
  <c r="I31" i="77" s="1"/>
  <c r="J1073" i="63"/>
  <c r="I1073" i="63"/>
  <c r="L1072" i="63"/>
  <c r="L1071" i="63"/>
  <c r="K1070" i="63"/>
  <c r="L1070" i="63" s="1"/>
  <c r="M1068" i="63"/>
  <c r="G31" i="77" s="1"/>
  <c r="J1068" i="63"/>
  <c r="I1068" i="63"/>
  <c r="K1067" i="63"/>
  <c r="L1067" i="63" s="1"/>
  <c r="K1066" i="63"/>
  <c r="L1066" i="63" s="1"/>
  <c r="K1065" i="63"/>
  <c r="L1065" i="63" s="1"/>
  <c r="K1064" i="63"/>
  <c r="L1064" i="63" s="1"/>
  <c r="L1063" i="63"/>
  <c r="K1062" i="63"/>
  <c r="L1062" i="63" s="1"/>
  <c r="K1061" i="63"/>
  <c r="L1061" i="63" s="1"/>
  <c r="M1059" i="63"/>
  <c r="F31" i="77" s="1"/>
  <c r="J1059" i="63"/>
  <c r="L1057" i="63"/>
  <c r="K1056" i="63"/>
  <c r="L1056" i="63" s="1"/>
  <c r="K1055" i="63"/>
  <c r="L1055" i="63" s="1"/>
  <c r="L1054" i="63"/>
  <c r="K1053" i="63"/>
  <c r="L1053" i="63" s="1"/>
  <c r="I1053" i="63"/>
  <c r="L1052" i="63"/>
  <c r="I1052" i="63"/>
  <c r="I1059" i="63" s="1"/>
  <c r="L1051" i="63"/>
  <c r="K1050" i="63"/>
  <c r="L1050" i="63" s="1"/>
  <c r="K1049" i="63"/>
  <c r="L1049" i="63" s="1"/>
  <c r="K1048" i="63"/>
  <c r="L1048" i="63" s="1"/>
  <c r="K1047" i="63"/>
  <c r="L1047" i="63" s="1"/>
  <c r="K1046" i="63"/>
  <c r="L1046" i="63" s="1"/>
  <c r="K1045" i="63"/>
  <c r="L1045" i="63" s="1"/>
  <c r="K1044" i="63"/>
  <c r="L1044" i="63" s="1"/>
  <c r="K1043" i="63"/>
  <c r="L1043" i="63" s="1"/>
  <c r="K1042" i="63"/>
  <c r="L1042" i="63" s="1"/>
  <c r="L1041" i="63"/>
  <c r="L1039" i="63"/>
  <c r="M1007" i="63"/>
  <c r="I30" i="77" s="1"/>
  <c r="J1007" i="63"/>
  <c r="I1007" i="63"/>
  <c r="K1006" i="63"/>
  <c r="L1006" i="63" s="1"/>
  <c r="K1005" i="63"/>
  <c r="L1005" i="63" s="1"/>
  <c r="K1004" i="63"/>
  <c r="M1002" i="63"/>
  <c r="G30" i="77" s="1"/>
  <c r="J1002" i="63"/>
  <c r="I1002" i="63"/>
  <c r="K1001" i="63"/>
  <c r="L1001" i="63" s="1"/>
  <c r="L1000" i="63"/>
  <c r="K999" i="63"/>
  <c r="L999" i="63" s="1"/>
  <c r="K998" i="63"/>
  <c r="L998" i="63" s="1"/>
  <c r="L997" i="63"/>
  <c r="K996" i="63"/>
  <c r="L996" i="63" s="1"/>
  <c r="K995" i="63"/>
  <c r="M993" i="63"/>
  <c r="F30" i="77" s="1"/>
  <c r="J993" i="63"/>
  <c r="L991" i="63"/>
  <c r="K990" i="63"/>
  <c r="L990" i="63" s="1"/>
  <c r="K989" i="63"/>
  <c r="L989" i="63" s="1"/>
  <c r="I989" i="63"/>
  <c r="H38" i="79" s="1"/>
  <c r="K988" i="63"/>
  <c r="L988" i="63" s="1"/>
  <c r="L987" i="63"/>
  <c r="K986" i="63"/>
  <c r="L986" i="63" s="1"/>
  <c r="I986" i="63"/>
  <c r="L985" i="63"/>
  <c r="I985" i="63"/>
  <c r="L984" i="63"/>
  <c r="K983" i="63"/>
  <c r="L983" i="63" s="1"/>
  <c r="K982" i="63"/>
  <c r="L982" i="63" s="1"/>
  <c r="K981" i="63"/>
  <c r="L981" i="63" s="1"/>
  <c r="K980" i="63"/>
  <c r="L980" i="63" s="1"/>
  <c r="K979" i="63"/>
  <c r="L979" i="63" s="1"/>
  <c r="K978" i="63"/>
  <c r="L978" i="63" s="1"/>
  <c r="K977" i="63"/>
  <c r="L977" i="63" s="1"/>
  <c r="K976" i="63"/>
  <c r="L976" i="63" s="1"/>
  <c r="K975" i="63"/>
  <c r="L975" i="63" s="1"/>
  <c r="K974" i="63"/>
  <c r="L974" i="63" s="1"/>
  <c r="M943" i="63"/>
  <c r="I29" i="77" s="1"/>
  <c r="J943" i="63"/>
  <c r="I943" i="63"/>
  <c r="K942" i="63"/>
  <c r="L942" i="63" s="1"/>
  <c r="K941" i="63"/>
  <c r="L941" i="63" s="1"/>
  <c r="K940" i="63"/>
  <c r="L940" i="63" s="1"/>
  <c r="K939" i="63"/>
  <c r="L939" i="63" s="1"/>
  <c r="M937" i="63"/>
  <c r="G29" i="77" s="1"/>
  <c r="J937" i="63"/>
  <c r="K936" i="63"/>
  <c r="L936" i="63" s="1"/>
  <c r="L935" i="63"/>
  <c r="K934" i="63"/>
  <c r="L934" i="63" s="1"/>
  <c r="K933" i="63"/>
  <c r="L933" i="63" s="1"/>
  <c r="K932" i="63"/>
  <c r="I932" i="63"/>
  <c r="K930" i="63"/>
  <c r="L929" i="63"/>
  <c r="K928" i="63"/>
  <c r="L928" i="63" s="1"/>
  <c r="K927" i="63"/>
  <c r="L927" i="63" s="1"/>
  <c r="F29" i="77"/>
  <c r="K922" i="63"/>
  <c r="K920" i="63"/>
  <c r="L920" i="63" s="1"/>
  <c r="K919" i="63"/>
  <c r="L919" i="63" s="1"/>
  <c r="K917" i="63"/>
  <c r="L917" i="63" s="1"/>
  <c r="L916" i="63"/>
  <c r="K915" i="63"/>
  <c r="L915" i="63" s="1"/>
  <c r="I915" i="63"/>
  <c r="L914" i="63"/>
  <c r="I914" i="63"/>
  <c r="L913" i="63"/>
  <c r="K912" i="63"/>
  <c r="L912" i="63" s="1"/>
  <c r="K911" i="63"/>
  <c r="L911" i="63" s="1"/>
  <c r="K910" i="63"/>
  <c r="L910" i="63" s="1"/>
  <c r="I910" i="63"/>
  <c r="H30" i="79" s="1"/>
  <c r="K909" i="63"/>
  <c r="L909" i="63" s="1"/>
  <c r="K908" i="63"/>
  <c r="L908" i="63" s="1"/>
  <c r="L907" i="63"/>
  <c r="K906" i="63"/>
  <c r="L906" i="63" s="1"/>
  <c r="K905" i="63"/>
  <c r="L905" i="63" s="1"/>
  <c r="I905" i="63"/>
  <c r="K904" i="63"/>
  <c r="L904" i="63" s="1"/>
  <c r="K903" i="63"/>
  <c r="L903" i="63" s="1"/>
  <c r="K902" i="63"/>
  <c r="L902" i="63" s="1"/>
  <c r="K901" i="63"/>
  <c r="L899" i="63"/>
  <c r="M875" i="63"/>
  <c r="I28" i="77" s="1"/>
  <c r="J875" i="63"/>
  <c r="K874" i="63"/>
  <c r="L874" i="63" s="1"/>
  <c r="K869" i="63"/>
  <c r="L869" i="63" s="1"/>
  <c r="K868" i="63"/>
  <c r="L868" i="63" s="1"/>
  <c r="K867" i="63"/>
  <c r="L867" i="63" s="1"/>
  <c r="I867" i="63"/>
  <c r="I875" i="63" s="1"/>
  <c r="M865" i="63"/>
  <c r="G28" i="77" s="1"/>
  <c r="J865" i="63"/>
  <c r="I865" i="63"/>
  <c r="K864" i="63"/>
  <c r="L864" i="63" s="1"/>
  <c r="K863" i="63"/>
  <c r="L863" i="63" s="1"/>
  <c r="K862" i="63"/>
  <c r="L862" i="63" s="1"/>
  <c r="K861" i="63"/>
  <c r="L861" i="63" s="1"/>
  <c r="K859" i="63"/>
  <c r="L859" i="63" s="1"/>
  <c r="K858" i="63"/>
  <c r="L858" i="63" s="1"/>
  <c r="L857" i="63"/>
  <c r="L856" i="63"/>
  <c r="K855" i="63"/>
  <c r="L855" i="63" s="1"/>
  <c r="K854" i="63"/>
  <c r="M852" i="63"/>
  <c r="F28" i="77" s="1"/>
  <c r="J852" i="63"/>
  <c r="K849" i="63"/>
  <c r="L849" i="63" s="1"/>
  <c r="K848" i="63"/>
  <c r="L848" i="63" s="1"/>
  <c r="K847" i="63"/>
  <c r="L847" i="63" s="1"/>
  <c r="I847" i="63"/>
  <c r="L846" i="63"/>
  <c r="L845" i="63"/>
  <c r="I845" i="63"/>
  <c r="K844" i="63"/>
  <c r="L844" i="63" s="1"/>
  <c r="I844" i="63"/>
  <c r="L843" i="63"/>
  <c r="K842" i="63"/>
  <c r="L842" i="63" s="1"/>
  <c r="K841" i="63"/>
  <c r="L841" i="63" s="1"/>
  <c r="K840" i="63"/>
  <c r="L840" i="63" s="1"/>
  <c r="K839" i="63"/>
  <c r="L839" i="63" s="1"/>
  <c r="K838" i="63"/>
  <c r="L838" i="63" s="1"/>
  <c r="K837" i="63"/>
  <c r="L837" i="63" s="1"/>
  <c r="K836" i="63"/>
  <c r="L836" i="63" s="1"/>
  <c r="K835" i="63"/>
  <c r="L835" i="63" s="1"/>
  <c r="K834" i="63"/>
  <c r="L834" i="63" s="1"/>
  <c r="K833" i="63"/>
  <c r="L833" i="63" s="1"/>
  <c r="L831" i="63"/>
  <c r="M807" i="63"/>
  <c r="I27" i="77" s="1"/>
  <c r="J807" i="63"/>
  <c r="I807" i="63"/>
  <c r="K806" i="63"/>
  <c r="L806" i="63" s="1"/>
  <c r="K805" i="63"/>
  <c r="L805" i="63" s="1"/>
  <c r="K804" i="63"/>
  <c r="L804" i="63" s="1"/>
  <c r="K803" i="63"/>
  <c r="L803" i="63" s="1"/>
  <c r="K802" i="63"/>
  <c r="L802" i="63" s="1"/>
  <c r="M800" i="63"/>
  <c r="G27" i="77" s="1"/>
  <c r="J800" i="63"/>
  <c r="K799" i="63"/>
  <c r="L799" i="63" s="1"/>
  <c r="K798" i="63"/>
  <c r="L798" i="63" s="1"/>
  <c r="K797" i="63"/>
  <c r="L797" i="63" s="1"/>
  <c r="I797" i="63"/>
  <c r="K795" i="63"/>
  <c r="I795" i="63"/>
  <c r="H64" i="79" s="1"/>
  <c r="L794" i="63"/>
  <c r="K793" i="63"/>
  <c r="L793" i="63" s="1"/>
  <c r="L792" i="63"/>
  <c r="L791" i="63"/>
  <c r="K790" i="63"/>
  <c r="L790" i="63" s="1"/>
  <c r="K789" i="63"/>
  <c r="M787" i="63"/>
  <c r="F27" i="77" s="1"/>
  <c r="J787" i="63"/>
  <c r="L784" i="63"/>
  <c r="L783" i="63"/>
  <c r="K782" i="63"/>
  <c r="L782" i="63" s="1"/>
  <c r="L781" i="63"/>
  <c r="L780" i="63"/>
  <c r="I780" i="63"/>
  <c r="L779" i="63"/>
  <c r="I779" i="63"/>
  <c r="L778" i="63"/>
  <c r="K777" i="63"/>
  <c r="L777" i="63" s="1"/>
  <c r="K776" i="63"/>
  <c r="L776" i="63" s="1"/>
  <c r="K775" i="63"/>
  <c r="K774" i="63"/>
  <c r="L774" i="63" s="1"/>
  <c r="K773" i="63"/>
  <c r="L773" i="63" s="1"/>
  <c r="K772" i="63"/>
  <c r="L772" i="63" s="1"/>
  <c r="K771" i="63"/>
  <c r="L771" i="63" s="1"/>
  <c r="K770" i="63"/>
  <c r="K769" i="63"/>
  <c r="L769" i="63" s="1"/>
  <c r="K768" i="63"/>
  <c r="L768" i="63" s="1"/>
  <c r="K767" i="63"/>
  <c r="L767" i="63" s="1"/>
  <c r="K766" i="63"/>
  <c r="L766" i="63" s="1"/>
  <c r="M730" i="63"/>
  <c r="I26" i="77" s="1"/>
  <c r="J730" i="63"/>
  <c r="I730" i="63"/>
  <c r="K729" i="63"/>
  <c r="L729" i="63" s="1"/>
  <c r="K728" i="63"/>
  <c r="L728" i="63" s="1"/>
  <c r="K727" i="63"/>
  <c r="L727" i="63" s="1"/>
  <c r="K726" i="63"/>
  <c r="L726" i="63" s="1"/>
  <c r="M724" i="63"/>
  <c r="G26" i="77" s="1"/>
  <c r="J724" i="63"/>
  <c r="K723" i="63"/>
  <c r="L723" i="63" s="1"/>
  <c r="K722" i="63"/>
  <c r="L722" i="63" s="1"/>
  <c r="I722" i="63"/>
  <c r="L721" i="63"/>
  <c r="L720" i="63"/>
  <c r="K719" i="63"/>
  <c r="L719" i="63" s="1"/>
  <c r="L718" i="63"/>
  <c r="K717" i="63"/>
  <c r="L717" i="63" s="1"/>
  <c r="L716" i="63"/>
  <c r="F26" i="77"/>
  <c r="L712" i="63"/>
  <c r="K711" i="63"/>
  <c r="L711" i="63" s="1"/>
  <c r="L710" i="63"/>
  <c r="K709" i="63"/>
  <c r="L709" i="63" s="1"/>
  <c r="L708" i="63"/>
  <c r="L707" i="63"/>
  <c r="I707" i="63"/>
  <c r="L706" i="63"/>
  <c r="I706" i="63"/>
  <c r="L705" i="63"/>
  <c r="L704" i="63"/>
  <c r="K703" i="63"/>
  <c r="L703" i="63" s="1"/>
  <c r="K702" i="63"/>
  <c r="L702" i="63" s="1"/>
  <c r="K701" i="63"/>
  <c r="L701" i="63" s="1"/>
  <c r="L700" i="63"/>
  <c r="K699" i="63"/>
  <c r="L699" i="63" s="1"/>
  <c r="K698" i="63"/>
  <c r="L698" i="63" s="1"/>
  <c r="K697" i="63"/>
  <c r="L697" i="63" s="1"/>
  <c r="K696" i="63"/>
  <c r="L696" i="63" s="1"/>
  <c r="K695" i="63"/>
  <c r="M659" i="63"/>
  <c r="I25" i="77" s="1"/>
  <c r="J659" i="63"/>
  <c r="I659" i="63"/>
  <c r="K658" i="63"/>
  <c r="L658" i="63" s="1"/>
  <c r="K657" i="63"/>
  <c r="L657" i="63" s="1"/>
  <c r="K656" i="63"/>
  <c r="L656" i="63" s="1"/>
  <c r="K655" i="63"/>
  <c r="L655" i="63" s="1"/>
  <c r="M653" i="63"/>
  <c r="G25" i="77" s="1"/>
  <c r="J653" i="63"/>
  <c r="I653" i="63"/>
  <c r="K652" i="63"/>
  <c r="L652" i="63" s="1"/>
  <c r="K651" i="63"/>
  <c r="L651" i="63" s="1"/>
  <c r="L650" i="63"/>
  <c r="K649" i="63"/>
  <c r="L649" i="63" s="1"/>
  <c r="L648" i="63"/>
  <c r="L646" i="63"/>
  <c r="K645" i="63"/>
  <c r="L645" i="63" s="1"/>
  <c r="F25" i="77"/>
  <c r="L640" i="63"/>
  <c r="K639" i="63"/>
  <c r="L639" i="63" s="1"/>
  <c r="K638" i="63"/>
  <c r="L638" i="63" s="1"/>
  <c r="K637" i="63"/>
  <c r="L637" i="63" s="1"/>
  <c r="L636" i="63"/>
  <c r="K635" i="63"/>
  <c r="L635" i="63" s="1"/>
  <c r="I635" i="63"/>
  <c r="L634" i="63"/>
  <c r="I634" i="63"/>
  <c r="L633" i="63"/>
  <c r="K632" i="63"/>
  <c r="L632" i="63" s="1"/>
  <c r="K631" i="63"/>
  <c r="L631" i="63" s="1"/>
  <c r="L630" i="63"/>
  <c r="K629" i="63"/>
  <c r="L629" i="63" s="1"/>
  <c r="K628" i="63"/>
  <c r="L628" i="63" s="1"/>
  <c r="K627" i="63"/>
  <c r="L627" i="63" s="1"/>
  <c r="K626" i="63"/>
  <c r="L626" i="63" s="1"/>
  <c r="K625" i="63"/>
  <c r="L625" i="63" s="1"/>
  <c r="K624" i="63"/>
  <c r="L624" i="63" s="1"/>
  <c r="K623" i="63"/>
  <c r="M594" i="63"/>
  <c r="I24" i="77" s="1"/>
  <c r="K24" i="77" s="1"/>
  <c r="J594" i="63"/>
  <c r="I594" i="63"/>
  <c r="K593" i="63"/>
  <c r="L593" i="63" s="1"/>
  <c r="K592" i="63"/>
  <c r="L592" i="63" s="1"/>
  <c r="K591" i="63"/>
  <c r="L591" i="63" s="1"/>
  <c r="K590" i="63"/>
  <c r="K587" i="63"/>
  <c r="L587" i="63" s="1"/>
  <c r="L586" i="63"/>
  <c r="L584" i="63"/>
  <c r="I584" i="63"/>
  <c r="H60" i="79" s="1"/>
  <c r="K583" i="63"/>
  <c r="L583" i="63" s="1"/>
  <c r="L582" i="63"/>
  <c r="K581" i="63"/>
  <c r="L580" i="63"/>
  <c r="L579" i="63"/>
  <c r="I578" i="63"/>
  <c r="L574" i="63"/>
  <c r="K573" i="63"/>
  <c r="L573" i="63" s="1"/>
  <c r="K572" i="63"/>
  <c r="L572" i="63" s="1"/>
  <c r="K571" i="63"/>
  <c r="L571" i="63" s="1"/>
  <c r="L570" i="63"/>
  <c r="K569" i="63"/>
  <c r="L569" i="63" s="1"/>
  <c r="I569" i="63"/>
  <c r="L568" i="63"/>
  <c r="I568" i="63"/>
  <c r="I576" i="63" s="1"/>
  <c r="L567" i="63"/>
  <c r="K566" i="63"/>
  <c r="L566" i="63" s="1"/>
  <c r="K565" i="63"/>
  <c r="L565" i="63" s="1"/>
  <c r="K564" i="63"/>
  <c r="L564" i="63" s="1"/>
  <c r="K563" i="63"/>
  <c r="L563" i="63" s="1"/>
  <c r="K562" i="63"/>
  <c r="L562" i="63" s="1"/>
  <c r="K561" i="63"/>
  <c r="L561" i="63" s="1"/>
  <c r="K560" i="63"/>
  <c r="L560" i="63" s="1"/>
  <c r="K559" i="63"/>
  <c r="L559" i="63" s="1"/>
  <c r="K558" i="63"/>
  <c r="L558" i="63" s="1"/>
  <c r="K557" i="63"/>
  <c r="L557" i="63" s="1"/>
  <c r="K556" i="63"/>
  <c r="M523" i="63"/>
  <c r="I23" i="77" s="1"/>
  <c r="J523" i="63"/>
  <c r="I523" i="63"/>
  <c r="K522" i="63"/>
  <c r="L522" i="63" s="1"/>
  <c r="K521" i="63"/>
  <c r="K520" i="63"/>
  <c r="L520" i="63" s="1"/>
  <c r="K519" i="63"/>
  <c r="L519" i="63" s="1"/>
  <c r="M517" i="63"/>
  <c r="G23" i="77" s="1"/>
  <c r="J517" i="63"/>
  <c r="I517" i="63"/>
  <c r="K516" i="63"/>
  <c r="L516" i="63" s="1"/>
  <c r="K515" i="63"/>
  <c r="L515" i="63" s="1"/>
  <c r="L514" i="63"/>
  <c r="K513" i="63"/>
  <c r="L513" i="63" s="1"/>
  <c r="L512" i="63"/>
  <c r="K511" i="63"/>
  <c r="L511" i="63" s="1"/>
  <c r="L506" i="63"/>
  <c r="K505" i="63"/>
  <c r="L505" i="63" s="1"/>
  <c r="K504" i="63"/>
  <c r="L504" i="63" s="1"/>
  <c r="K503" i="63"/>
  <c r="L503" i="63" s="1"/>
  <c r="L502" i="63"/>
  <c r="K501" i="63"/>
  <c r="L501" i="63" s="1"/>
  <c r="I501" i="63"/>
  <c r="L500" i="63"/>
  <c r="I500" i="63"/>
  <c r="L499" i="63"/>
  <c r="K498" i="63"/>
  <c r="L498" i="63" s="1"/>
  <c r="K497" i="63"/>
  <c r="L497" i="63" s="1"/>
  <c r="K496" i="63"/>
  <c r="L496" i="63" s="1"/>
  <c r="I496" i="63"/>
  <c r="K495" i="63"/>
  <c r="L495" i="63" s="1"/>
  <c r="K494" i="63"/>
  <c r="L494" i="63" s="1"/>
  <c r="K493" i="63"/>
  <c r="L493" i="63" s="1"/>
  <c r="K492" i="63"/>
  <c r="L492" i="63" s="1"/>
  <c r="K491" i="63"/>
  <c r="L491" i="63" s="1"/>
  <c r="K490" i="63"/>
  <c r="L490" i="63" s="1"/>
  <c r="K489" i="63"/>
  <c r="L489" i="63" s="1"/>
  <c r="K488" i="63"/>
  <c r="M454" i="63"/>
  <c r="J454" i="63"/>
  <c r="I454" i="63"/>
  <c r="K453" i="63"/>
  <c r="K452" i="63"/>
  <c r="L452" i="63" s="1"/>
  <c r="K451" i="63"/>
  <c r="L451" i="63" s="1"/>
  <c r="M449" i="63"/>
  <c r="J449" i="63"/>
  <c r="I449" i="63"/>
  <c r="K448" i="63"/>
  <c r="L448" i="63" s="1"/>
  <c r="L447" i="63"/>
  <c r="K446" i="63"/>
  <c r="L446" i="63" s="1"/>
  <c r="L445" i="63"/>
  <c r="L444" i="63"/>
  <c r="L443" i="63"/>
  <c r="F22" i="77"/>
  <c r="K22" i="77" s="1"/>
  <c r="L439" i="63"/>
  <c r="L438" i="63"/>
  <c r="K437" i="63"/>
  <c r="L437" i="63" s="1"/>
  <c r="L436" i="63"/>
  <c r="K435" i="63"/>
  <c r="L435" i="63" s="1"/>
  <c r="I435" i="63"/>
  <c r="L434" i="63"/>
  <c r="I434" i="63"/>
  <c r="L433" i="63"/>
  <c r="K432" i="63"/>
  <c r="L432" i="63" s="1"/>
  <c r="K431" i="63"/>
  <c r="L431" i="63" s="1"/>
  <c r="L430" i="63"/>
  <c r="L429" i="63"/>
  <c r="K428" i="63"/>
  <c r="L428" i="63" s="1"/>
  <c r="K427" i="63"/>
  <c r="L427" i="63" s="1"/>
  <c r="K426" i="63"/>
  <c r="L426" i="63" s="1"/>
  <c r="K425" i="63"/>
  <c r="L425" i="63" s="1"/>
  <c r="K424" i="63"/>
  <c r="L424" i="63" s="1"/>
  <c r="K423" i="63"/>
  <c r="L423" i="63" s="1"/>
  <c r="K422" i="63"/>
  <c r="L420" i="63"/>
  <c r="K391" i="63"/>
  <c r="M389" i="63"/>
  <c r="I21" i="77" s="1"/>
  <c r="J389" i="63"/>
  <c r="I389" i="63"/>
  <c r="K388" i="63"/>
  <c r="L388" i="63" s="1"/>
  <c r="K387" i="63"/>
  <c r="L387" i="63" s="1"/>
  <c r="K386" i="63"/>
  <c r="L386" i="63" s="1"/>
  <c r="M384" i="63"/>
  <c r="G21" i="77" s="1"/>
  <c r="J384" i="63"/>
  <c r="I384" i="63"/>
  <c r="K383" i="63"/>
  <c r="L383" i="63" s="1"/>
  <c r="K382" i="63"/>
  <c r="L382" i="63" s="1"/>
  <c r="L381" i="63"/>
  <c r="L380" i="63"/>
  <c r="K379" i="63"/>
  <c r="L379" i="63" s="1"/>
  <c r="L378" i="63"/>
  <c r="K377" i="63"/>
  <c r="L376" i="63"/>
  <c r="F21" i="77"/>
  <c r="L372" i="63"/>
  <c r="K371" i="63"/>
  <c r="L371" i="63" s="1"/>
  <c r="K370" i="63"/>
  <c r="L370" i="63" s="1"/>
  <c r="K369" i="63"/>
  <c r="L369" i="63" s="1"/>
  <c r="L368" i="63"/>
  <c r="K367" i="63"/>
  <c r="L367" i="63" s="1"/>
  <c r="I367" i="63"/>
  <c r="L366" i="63"/>
  <c r="I366" i="63"/>
  <c r="L365" i="63"/>
  <c r="L364" i="63"/>
  <c r="K363" i="63"/>
  <c r="L363" i="63" s="1"/>
  <c r="K362" i="63"/>
  <c r="L362" i="63" s="1"/>
  <c r="K361" i="63"/>
  <c r="L361" i="63" s="1"/>
  <c r="L360" i="63"/>
  <c r="K359" i="63"/>
  <c r="L359" i="63" s="1"/>
  <c r="K358" i="63"/>
  <c r="L358" i="63" s="1"/>
  <c r="K357" i="63"/>
  <c r="L357" i="63" s="1"/>
  <c r="K355" i="63"/>
  <c r="L353" i="63"/>
  <c r="M328" i="63"/>
  <c r="I20" i="77" s="1"/>
  <c r="J328" i="63"/>
  <c r="I328" i="63"/>
  <c r="K327" i="63"/>
  <c r="L327" i="63" s="1"/>
  <c r="K326" i="63"/>
  <c r="L326" i="63" s="1"/>
  <c r="K325" i="63"/>
  <c r="L325" i="63" s="1"/>
  <c r="M323" i="63"/>
  <c r="G20" i="77" s="1"/>
  <c r="J323" i="63"/>
  <c r="I323" i="63"/>
  <c r="K322" i="63"/>
  <c r="L322" i="63" s="1"/>
  <c r="K321" i="63"/>
  <c r="L321" i="63" s="1"/>
  <c r="L320" i="63"/>
  <c r="L319" i="63"/>
  <c r="L318" i="63"/>
  <c r="K317" i="63"/>
  <c r="L317" i="63" s="1"/>
  <c r="L312" i="63"/>
  <c r="K311" i="63"/>
  <c r="L311" i="63" s="1"/>
  <c r="K310" i="63"/>
  <c r="L310" i="63" s="1"/>
  <c r="K309" i="63"/>
  <c r="L309" i="63" s="1"/>
  <c r="L308" i="63"/>
  <c r="K307" i="63"/>
  <c r="L307" i="63" s="1"/>
  <c r="I307" i="63"/>
  <c r="L306" i="63"/>
  <c r="I306" i="63"/>
  <c r="L305" i="63"/>
  <c r="K304" i="63"/>
  <c r="L304" i="63" s="1"/>
  <c r="L303" i="63"/>
  <c r="K302" i="63"/>
  <c r="L302" i="63" s="1"/>
  <c r="K301" i="63"/>
  <c r="L301" i="63" s="1"/>
  <c r="K300" i="63"/>
  <c r="L300" i="63" s="1"/>
  <c r="K299" i="63"/>
  <c r="L299" i="63" s="1"/>
  <c r="K298" i="63"/>
  <c r="L298" i="63" s="1"/>
  <c r="K297" i="63"/>
  <c r="L297" i="63" s="1"/>
  <c r="L296" i="63"/>
  <c r="L295" i="63"/>
  <c r="K294" i="63"/>
  <c r="M266" i="63"/>
  <c r="I19" i="77" s="1"/>
  <c r="J266" i="63"/>
  <c r="I266" i="63"/>
  <c r="K265" i="63"/>
  <c r="L265" i="63" s="1"/>
  <c r="K264" i="63"/>
  <c r="L264" i="63" s="1"/>
  <c r="K263" i="63"/>
  <c r="L263" i="63" s="1"/>
  <c r="K262" i="63"/>
  <c r="L262" i="63" s="1"/>
  <c r="K261" i="63"/>
  <c r="L261" i="63" s="1"/>
  <c r="K260" i="63"/>
  <c r="L260" i="63" s="1"/>
  <c r="M258" i="63"/>
  <c r="G19" i="77" s="1"/>
  <c r="J258" i="63"/>
  <c r="K257" i="63"/>
  <c r="L256" i="63"/>
  <c r="K255" i="63"/>
  <c r="K254" i="63"/>
  <c r="L254" i="63" s="1"/>
  <c r="I253" i="63"/>
  <c r="H57" i="79" s="1"/>
  <c r="K252" i="63"/>
  <c r="L252" i="63" s="1"/>
  <c r="I252" i="63"/>
  <c r="H56" i="79" s="1"/>
  <c r="K251" i="63"/>
  <c r="L250" i="63"/>
  <c r="I249" i="63"/>
  <c r="H53" i="79" s="1"/>
  <c r="L248" i="63"/>
  <c r="K247" i="63"/>
  <c r="L247" i="63" s="1"/>
  <c r="L246" i="63"/>
  <c r="I245" i="63"/>
  <c r="M243" i="63"/>
  <c r="F19" i="77" s="1"/>
  <c r="J243" i="63"/>
  <c r="I241" i="63"/>
  <c r="H41" i="79" s="1"/>
  <c r="K240" i="63"/>
  <c r="L240" i="63" s="1"/>
  <c r="K239" i="63"/>
  <c r="L239" i="63" s="1"/>
  <c r="K238" i="63"/>
  <c r="L238" i="63" s="1"/>
  <c r="I238" i="63"/>
  <c r="L237" i="63"/>
  <c r="K236" i="63"/>
  <c r="L236" i="63" s="1"/>
  <c r="I236" i="63"/>
  <c r="L235" i="63"/>
  <c r="I235" i="63"/>
  <c r="L234" i="63"/>
  <c r="K233" i="63"/>
  <c r="L233" i="63" s="1"/>
  <c r="K232" i="63"/>
  <c r="L232" i="63" s="1"/>
  <c r="K231" i="63"/>
  <c r="L231" i="63" s="1"/>
  <c r="K230" i="63"/>
  <c r="L230" i="63" s="1"/>
  <c r="L229" i="63"/>
  <c r="K228" i="63"/>
  <c r="L228" i="63" s="1"/>
  <c r="K227" i="63"/>
  <c r="L227" i="63" s="1"/>
  <c r="K226" i="63"/>
  <c r="L226" i="63" s="1"/>
  <c r="I226" i="63"/>
  <c r="H22" i="79" s="1"/>
  <c r="K225" i="63"/>
  <c r="L225" i="63" s="1"/>
  <c r="I225" i="63"/>
  <c r="H21" i="79" s="1"/>
  <c r="K224" i="63"/>
  <c r="L224" i="63" s="1"/>
  <c r="I224" i="63"/>
  <c r="H20" i="79" s="1"/>
  <c r="L222" i="63"/>
  <c r="I222" i="63"/>
  <c r="L901" i="63" l="1"/>
  <c r="K925" i="63"/>
  <c r="I714" i="63"/>
  <c r="H24" i="79"/>
  <c r="I925" i="63"/>
  <c r="L925" i="63"/>
  <c r="I441" i="63"/>
  <c r="L695" i="63"/>
  <c r="K714" i="63"/>
  <c r="H31" i="79"/>
  <c r="I508" i="63"/>
  <c r="I525" i="63" s="1"/>
  <c r="L422" i="63"/>
  <c r="L441" i="63" s="1"/>
  <c r="K441" i="63"/>
  <c r="L488" i="63"/>
  <c r="K508" i="63"/>
  <c r="K20" i="77"/>
  <c r="L556" i="63"/>
  <c r="K576" i="63"/>
  <c r="I642" i="63"/>
  <c r="I661" i="63" s="1"/>
  <c r="L623" i="63"/>
  <c r="K642" i="63"/>
  <c r="L355" i="63"/>
  <c r="K374" i="63"/>
  <c r="H17" i="79"/>
  <c r="I243" i="63"/>
  <c r="K21" i="77"/>
  <c r="I374" i="63"/>
  <c r="I392" i="63" s="1"/>
  <c r="L294" i="63"/>
  <c r="K314" i="63"/>
  <c r="I314" i="63"/>
  <c r="I329" i="63" s="1"/>
  <c r="K26" i="77"/>
  <c r="K30" i="77"/>
  <c r="G36" i="77"/>
  <c r="L1137" i="63"/>
  <c r="K31" i="77"/>
  <c r="L1140" i="63"/>
  <c r="L1138" i="63"/>
  <c r="L1141" i="63"/>
  <c r="K29" i="77"/>
  <c r="L1142" i="63"/>
  <c r="K28" i="77"/>
  <c r="L1129" i="63"/>
  <c r="K19" i="77"/>
  <c r="F36" i="77"/>
  <c r="K25" i="77"/>
  <c r="K27" i="77"/>
  <c r="K33" i="77"/>
  <c r="K23" i="77"/>
  <c r="L1134" i="63"/>
  <c r="H206" i="79"/>
  <c r="L1135" i="63"/>
  <c r="L1136" i="63"/>
  <c r="L1147" i="63"/>
  <c r="L581" i="63"/>
  <c r="L1120" i="63"/>
  <c r="L253" i="63"/>
  <c r="I724" i="63"/>
  <c r="H67" i="79"/>
  <c r="L1108" i="63"/>
  <c r="L1121" i="63"/>
  <c r="L930" i="63"/>
  <c r="L1122" i="63"/>
  <c r="L931" i="63"/>
  <c r="L1111" i="63"/>
  <c r="I937" i="63"/>
  <c r="H65" i="79"/>
  <c r="L1112" i="63"/>
  <c r="L1123" i="63"/>
  <c r="L257" i="63"/>
  <c r="L585" i="63"/>
  <c r="L932" i="63"/>
  <c r="L1113" i="63"/>
  <c r="L770" i="63"/>
  <c r="L1114" i="63"/>
  <c r="L1124" i="63"/>
  <c r="L255" i="63"/>
  <c r="L249" i="63"/>
  <c r="L1115" i="63"/>
  <c r="L1125" i="63"/>
  <c r="L922" i="63"/>
  <c r="L1126" i="63"/>
  <c r="L251" i="63"/>
  <c r="L795" i="63"/>
  <c r="L1117" i="63"/>
  <c r="L1127" i="63"/>
  <c r="L241" i="63"/>
  <c r="L1128" i="63"/>
  <c r="L775" i="63"/>
  <c r="L1119" i="63"/>
  <c r="I588" i="63"/>
  <c r="L852" i="63"/>
  <c r="M525" i="63"/>
  <c r="K588" i="63"/>
  <c r="L554" i="63"/>
  <c r="M392" i="63"/>
  <c r="I787" i="63"/>
  <c r="J945" i="63"/>
  <c r="M1153" i="63"/>
  <c r="I852" i="63"/>
  <c r="I877" i="63" s="1"/>
  <c r="K1007" i="63"/>
  <c r="I800" i="63"/>
  <c r="J1153" i="63"/>
  <c r="K1152" i="63"/>
  <c r="K800" i="63"/>
  <c r="J809" i="63"/>
  <c r="J1009" i="63"/>
  <c r="M809" i="63"/>
  <c r="M945" i="63"/>
  <c r="M732" i="63"/>
  <c r="J1075" i="63"/>
  <c r="K993" i="63"/>
  <c r="I993" i="63"/>
  <c r="I1009" i="63" s="1"/>
  <c r="K937" i="63"/>
  <c r="L1073" i="63"/>
  <c r="K787" i="63"/>
  <c r="K807" i="63"/>
  <c r="M1009" i="63"/>
  <c r="I1075" i="63"/>
  <c r="L1068" i="63"/>
  <c r="I1153" i="63"/>
  <c r="J732" i="63"/>
  <c r="J877" i="63"/>
  <c r="K1002" i="63"/>
  <c r="L1004" i="63"/>
  <c r="L1007" i="63" s="1"/>
  <c r="K865" i="63"/>
  <c r="M877" i="63"/>
  <c r="L854" i="63"/>
  <c r="L865" i="63" s="1"/>
  <c r="M1075" i="63"/>
  <c r="K1145" i="63"/>
  <c r="L1059" i="63"/>
  <c r="K1068" i="63"/>
  <c r="K1059" i="63"/>
  <c r="K1073" i="63"/>
  <c r="L995" i="63"/>
  <c r="L1002" i="63" s="1"/>
  <c r="L972" i="63"/>
  <c r="L993" i="63" s="1"/>
  <c r="L943" i="63"/>
  <c r="K943" i="63"/>
  <c r="L875" i="63"/>
  <c r="K852" i="63"/>
  <c r="K875" i="63"/>
  <c r="L807" i="63"/>
  <c r="L764" i="63"/>
  <c r="L789" i="63"/>
  <c r="L730" i="63"/>
  <c r="L724" i="63"/>
  <c r="L693" i="63"/>
  <c r="K724" i="63"/>
  <c r="K730" i="63"/>
  <c r="M596" i="63"/>
  <c r="I456" i="63"/>
  <c r="M661" i="63"/>
  <c r="K653" i="63"/>
  <c r="J661" i="63"/>
  <c r="K454" i="63"/>
  <c r="L644" i="63"/>
  <c r="L653" i="63" s="1"/>
  <c r="M329" i="63"/>
  <c r="J596" i="63"/>
  <c r="L659" i="63"/>
  <c r="L621" i="63"/>
  <c r="L642" i="63" s="1"/>
  <c r="K659" i="63"/>
  <c r="L578" i="63"/>
  <c r="J329" i="63"/>
  <c r="K517" i="63"/>
  <c r="J392" i="63"/>
  <c r="K523" i="63"/>
  <c r="J456" i="63"/>
  <c r="K594" i="63"/>
  <c r="M456" i="63"/>
  <c r="L590" i="63"/>
  <c r="L594" i="63" s="1"/>
  <c r="J525" i="63"/>
  <c r="K384" i="63"/>
  <c r="L328" i="63"/>
  <c r="K323" i="63"/>
  <c r="L486" i="63"/>
  <c r="L510" i="63"/>
  <c r="L517" i="63" s="1"/>
  <c r="L521" i="63"/>
  <c r="L523" i="63" s="1"/>
  <c r="L449" i="63"/>
  <c r="L453" i="63"/>
  <c r="L454" i="63" s="1"/>
  <c r="K449" i="63"/>
  <c r="L389" i="63"/>
  <c r="L377" i="63"/>
  <c r="L384" i="63" s="1"/>
  <c r="K389" i="63"/>
  <c r="L356" i="63"/>
  <c r="L391" i="63"/>
  <c r="L292" i="63"/>
  <c r="K328" i="63"/>
  <c r="L316" i="63"/>
  <c r="L323" i="63" s="1"/>
  <c r="L266" i="63"/>
  <c r="J268" i="63"/>
  <c r="K258" i="63"/>
  <c r="I258" i="63"/>
  <c r="M268" i="63"/>
  <c r="K243" i="63"/>
  <c r="K266" i="63"/>
  <c r="L245" i="63"/>
  <c r="K192" i="63"/>
  <c r="L192" i="63" s="1"/>
  <c r="K191" i="63"/>
  <c r="L191" i="63" s="1"/>
  <c r="K190" i="63"/>
  <c r="L190" i="63" s="1"/>
  <c r="K189" i="63"/>
  <c r="L189" i="63" s="1"/>
  <c r="K188" i="63"/>
  <c r="L188" i="63" s="1"/>
  <c r="K187" i="63"/>
  <c r="L187" i="63" s="1"/>
  <c r="K186" i="63"/>
  <c r="L186" i="63" s="1"/>
  <c r="K185" i="63"/>
  <c r="L185" i="63" s="1"/>
  <c r="K184" i="63"/>
  <c r="L184" i="63" s="1"/>
  <c r="K183" i="63"/>
  <c r="L183" i="63" s="1"/>
  <c r="K182" i="63"/>
  <c r="L182" i="63" s="1"/>
  <c r="K181" i="63"/>
  <c r="L181" i="63" s="1"/>
  <c r="K180" i="63"/>
  <c r="L180" i="63" s="1"/>
  <c r="L179" i="63"/>
  <c r="K178" i="63"/>
  <c r="L178" i="63" s="1"/>
  <c r="K177" i="63"/>
  <c r="L177" i="63" s="1"/>
  <c r="K176" i="63"/>
  <c r="K175" i="63"/>
  <c r="K174" i="63"/>
  <c r="K173" i="63"/>
  <c r="L173" i="63" s="1"/>
  <c r="L172" i="63"/>
  <c r="I172" i="63"/>
  <c r="K171" i="63"/>
  <c r="L171" i="63" s="1"/>
  <c r="K170" i="63"/>
  <c r="L170" i="63" s="1"/>
  <c r="K169" i="63"/>
  <c r="L169" i="63" s="1"/>
  <c r="K168" i="63"/>
  <c r="L168" i="63" s="1"/>
  <c r="K167" i="63"/>
  <c r="L167" i="63" s="1"/>
  <c r="K166" i="63"/>
  <c r="L166" i="63" s="1"/>
  <c r="I166" i="63"/>
  <c r="L165" i="63"/>
  <c r="L164" i="63"/>
  <c r="L163" i="63"/>
  <c r="I163" i="63"/>
  <c r="K162" i="63"/>
  <c r="L162" i="63" s="1"/>
  <c r="L161" i="63"/>
  <c r="I161" i="63"/>
  <c r="K160" i="63"/>
  <c r="L160" i="63" s="1"/>
  <c r="I160" i="63"/>
  <c r="L159" i="63"/>
  <c r="I159" i="63"/>
  <c r="L158" i="63"/>
  <c r="L157" i="63"/>
  <c r="I157" i="63"/>
  <c r="K156" i="63"/>
  <c r="L156" i="63" s="1"/>
  <c r="L155" i="63"/>
  <c r="I155" i="63"/>
  <c r="K154" i="63"/>
  <c r="L154" i="63" s="1"/>
  <c r="L153" i="63"/>
  <c r="K152" i="63"/>
  <c r="L130" i="63"/>
  <c r="L129" i="63"/>
  <c r="I129" i="63"/>
  <c r="K128" i="63"/>
  <c r="L128" i="63" s="1"/>
  <c r="I128" i="63"/>
  <c r="K127" i="63"/>
  <c r="L127" i="63" s="1"/>
  <c r="L126" i="63"/>
  <c r="K125" i="63"/>
  <c r="L125" i="63" s="1"/>
  <c r="L124" i="63"/>
  <c r="J131" i="63"/>
  <c r="M131" i="63"/>
  <c r="L122" i="63"/>
  <c r="I122" i="63"/>
  <c r="K121" i="63"/>
  <c r="I120" i="63"/>
  <c r="H88" i="79" s="1"/>
  <c r="I119" i="63"/>
  <c r="H87" i="79" s="1"/>
  <c r="H90" i="79" s="1"/>
  <c r="K118" i="63"/>
  <c r="L118" i="63" s="1"/>
  <c r="K117" i="63"/>
  <c r="L117" i="63" s="1"/>
  <c r="L116" i="63"/>
  <c r="K115" i="63"/>
  <c r="L115" i="63" s="1"/>
  <c r="K114" i="63"/>
  <c r="L114" i="63" s="1"/>
  <c r="L113" i="63"/>
  <c r="K112" i="63"/>
  <c r="L112" i="63" s="1"/>
  <c r="K111" i="63"/>
  <c r="L111" i="63" s="1"/>
  <c r="K110" i="63"/>
  <c r="L110" i="63" s="1"/>
  <c r="L109" i="63"/>
  <c r="K108" i="63"/>
  <c r="L108" i="63" s="1"/>
  <c r="L107" i="63"/>
  <c r="I107" i="63"/>
  <c r="L106" i="63"/>
  <c r="K105" i="63"/>
  <c r="L105" i="63" s="1"/>
  <c r="K104" i="63"/>
  <c r="L104" i="63" s="1"/>
  <c r="K103" i="63"/>
  <c r="L103" i="63" s="1"/>
  <c r="I103" i="63"/>
  <c r="L102" i="63"/>
  <c r="K101" i="63"/>
  <c r="L101" i="63" s="1"/>
  <c r="K100" i="63"/>
  <c r="L100" i="63" s="1"/>
  <c r="K99" i="63"/>
  <c r="L99" i="63" s="1"/>
  <c r="K96" i="63"/>
  <c r="L96" i="63" s="1"/>
  <c r="K95" i="63"/>
  <c r="L95" i="63" s="1"/>
  <c r="K94" i="63"/>
  <c r="L94" i="63" s="1"/>
  <c r="K93" i="63"/>
  <c r="L93" i="63" s="1"/>
  <c r="K92" i="63"/>
  <c r="L92" i="63" s="1"/>
  <c r="L91" i="63"/>
  <c r="I91" i="63"/>
  <c r="L90" i="63"/>
  <c r="I90" i="63"/>
  <c r="M66" i="63"/>
  <c r="I18" i="77" s="1"/>
  <c r="J66" i="63"/>
  <c r="K65" i="63"/>
  <c r="L65" i="63" s="1"/>
  <c r="K64" i="63"/>
  <c r="L64" i="63" s="1"/>
  <c r="K63" i="63"/>
  <c r="L63" i="63" s="1"/>
  <c r="K62" i="63"/>
  <c r="L62" i="63" s="1"/>
  <c r="K61" i="63"/>
  <c r="L58" i="63"/>
  <c r="K57" i="63"/>
  <c r="K55" i="63"/>
  <c r="K54" i="63"/>
  <c r="K52" i="63"/>
  <c r="K50" i="63"/>
  <c r="I50" i="63"/>
  <c r="H49" i="79" s="1"/>
  <c r="I47" i="63"/>
  <c r="K42" i="63"/>
  <c r="K41" i="63"/>
  <c r="K40" i="63"/>
  <c r="I40" i="63"/>
  <c r="H37" i="79" s="1"/>
  <c r="K38" i="63"/>
  <c r="I38" i="63"/>
  <c r="H35" i="79" s="1"/>
  <c r="I37" i="63"/>
  <c r="H34" i="79" s="1"/>
  <c r="K35" i="63"/>
  <c r="L35" i="63" s="1"/>
  <c r="K34" i="63"/>
  <c r="K33" i="63"/>
  <c r="K32" i="63"/>
  <c r="K31" i="63"/>
  <c r="K30" i="63"/>
  <c r="K29" i="63"/>
  <c r="K28" i="63"/>
  <c r="K27" i="63"/>
  <c r="K26" i="63"/>
  <c r="K25" i="63"/>
  <c r="K24" i="63"/>
  <c r="L714" i="63" l="1"/>
  <c r="L787" i="63"/>
  <c r="L314" i="63"/>
  <c r="L576" i="63"/>
  <c r="L374" i="63"/>
  <c r="L392" i="63" s="1"/>
  <c r="L508" i="63"/>
  <c r="J199" i="63"/>
  <c r="H46" i="79"/>
  <c r="H70" i="79" s="1"/>
  <c r="I59" i="63"/>
  <c r="M199" i="63"/>
  <c r="J18" i="77" s="1"/>
  <c r="L243" i="63"/>
  <c r="I732" i="63"/>
  <c r="L937" i="63"/>
  <c r="I36" i="77"/>
  <c r="L1145" i="63"/>
  <c r="L1152" i="63"/>
  <c r="L588" i="63"/>
  <c r="L596" i="63" s="1"/>
  <c r="L258" i="63"/>
  <c r="L800" i="63"/>
  <c r="H43" i="79"/>
  <c r="L53" i="63"/>
  <c r="L121" i="63"/>
  <c r="L54" i="63"/>
  <c r="L30" i="63"/>
  <c r="L32" i="63"/>
  <c r="L41" i="63"/>
  <c r="L55" i="63"/>
  <c r="L56" i="63"/>
  <c r="L33" i="63"/>
  <c r="L34" i="63"/>
  <c r="L22" i="63"/>
  <c r="L24" i="63"/>
  <c r="L48" i="63"/>
  <c r="L31" i="63"/>
  <c r="L49" i="63"/>
  <c r="L57" i="63"/>
  <c r="L37" i="63"/>
  <c r="L40" i="63"/>
  <c r="L50" i="63"/>
  <c r="L119" i="63"/>
  <c r="L42" i="63"/>
  <c r="L25" i="63"/>
  <c r="L26" i="63"/>
  <c r="L27" i="63"/>
  <c r="L28" i="63"/>
  <c r="L38" i="63"/>
  <c r="L51" i="63"/>
  <c r="I945" i="63"/>
  <c r="L29" i="63"/>
  <c r="L39" i="63"/>
  <c r="L52" i="63"/>
  <c r="L120" i="63"/>
  <c r="K45" i="63"/>
  <c r="I45" i="63"/>
  <c r="L47" i="63"/>
  <c r="K59" i="63"/>
  <c r="I131" i="63"/>
  <c r="I199" i="63" s="1"/>
  <c r="L152" i="63"/>
  <c r="M68" i="63"/>
  <c r="M200" i="63" s="1"/>
  <c r="K1009" i="63"/>
  <c r="I596" i="63"/>
  <c r="I809" i="63"/>
  <c r="K596" i="63"/>
  <c r="K809" i="63"/>
  <c r="K1153" i="63"/>
  <c r="L1075" i="63"/>
  <c r="K1075" i="63"/>
  <c r="K945" i="63"/>
  <c r="L1009" i="63"/>
  <c r="K877" i="63"/>
  <c r="L877" i="63"/>
  <c r="K732" i="63"/>
  <c r="L732" i="63"/>
  <c r="K661" i="63"/>
  <c r="L329" i="63"/>
  <c r="K329" i="63"/>
  <c r="L661" i="63"/>
  <c r="K392" i="63"/>
  <c r="K456" i="63"/>
  <c r="K525" i="63"/>
  <c r="L525" i="63"/>
  <c r="L456" i="63"/>
  <c r="I268" i="63"/>
  <c r="K268" i="63"/>
  <c r="K131" i="63"/>
  <c r="K199" i="63" s="1"/>
  <c r="J68" i="63"/>
  <c r="J200" i="63" s="1"/>
  <c r="K66" i="63"/>
  <c r="L61" i="63"/>
  <c r="L66" i="63" s="1"/>
  <c r="H91" i="79" l="1"/>
  <c r="L945" i="63"/>
  <c r="J36" i="77"/>
  <c r="K18" i="77"/>
  <c r="K36" i="77" s="1"/>
  <c r="L268" i="63"/>
  <c r="L131" i="63"/>
  <c r="L199" i="63" s="1"/>
  <c r="L809" i="63"/>
  <c r="L1153" i="63"/>
  <c r="L59" i="63"/>
  <c r="L45" i="63"/>
  <c r="I68" i="63"/>
  <c r="I200" i="63" s="1"/>
  <c r="I1076" i="63" s="1"/>
  <c r="K68" i="63"/>
  <c r="K200" i="63" s="1"/>
  <c r="L68" i="63" l="1"/>
  <c r="L200" i="63"/>
</calcChain>
</file>

<file path=xl/sharedStrings.xml><?xml version="1.0" encoding="utf-8"?>
<sst xmlns="http://schemas.openxmlformats.org/spreadsheetml/2006/main" count="2737" uniqueCount="568">
  <si>
    <t>ACCOUNT</t>
  </si>
  <si>
    <t>PARTICULARS</t>
  </si>
  <si>
    <t>CODE</t>
  </si>
  <si>
    <t>PAST YEAR</t>
  </si>
  <si>
    <t>BUDGET YEAR</t>
  </si>
  <si>
    <t>TOTAL NON-TAX REVENUE</t>
  </si>
  <si>
    <t>TOTAL RECEIPTS</t>
  </si>
  <si>
    <t>TOTAL</t>
  </si>
  <si>
    <t>OBJECT OF EXPENDITURE</t>
  </si>
  <si>
    <t>1141-2</t>
  </si>
  <si>
    <t>9993-1</t>
  </si>
  <si>
    <t>9993-2</t>
  </si>
  <si>
    <t>9993-3</t>
  </si>
  <si>
    <t>9993-4</t>
  </si>
  <si>
    <t>9993-5</t>
  </si>
  <si>
    <t>1011-2</t>
  </si>
  <si>
    <t>1011-3</t>
  </si>
  <si>
    <t>1011-5</t>
  </si>
  <si>
    <t>1011-6</t>
  </si>
  <si>
    <t>1011-7</t>
  </si>
  <si>
    <t>1011-8</t>
  </si>
  <si>
    <t>1011-9</t>
  </si>
  <si>
    <t>1011-10</t>
  </si>
  <si>
    <t>MUNICIPALITY OF ASINGAN</t>
  </si>
  <si>
    <t>1. Tax Revenue</t>
  </si>
  <si>
    <t>2. Non-Tax Revenue</t>
  </si>
  <si>
    <t>1011-11</t>
  </si>
  <si>
    <t>1011-12</t>
  </si>
  <si>
    <t>1011-15</t>
  </si>
  <si>
    <t>Appropriation</t>
  </si>
  <si>
    <t>1011-16</t>
  </si>
  <si>
    <t>1011-17</t>
  </si>
  <si>
    <t>1011-18</t>
  </si>
  <si>
    <t>1141-1</t>
  </si>
  <si>
    <t>5% LDRRMF</t>
  </si>
  <si>
    <t>MOOE</t>
  </si>
  <si>
    <t>CO</t>
  </si>
  <si>
    <t>Office of the Municipal Mayor</t>
  </si>
  <si>
    <t>Office of the Sangguniang Bayan</t>
  </si>
  <si>
    <t>Office of the MPDC</t>
  </si>
  <si>
    <t>Office of the Civil Registrar</t>
  </si>
  <si>
    <t>Office of the Municipal Budget Officer</t>
  </si>
  <si>
    <t>Office of the Municipal Accountant</t>
  </si>
  <si>
    <t>Office of the Municipal Treasurer</t>
  </si>
  <si>
    <t>Office of the Municipal Assessor</t>
  </si>
  <si>
    <t>Office of the Municipal Engineer</t>
  </si>
  <si>
    <t>Office of the M.S.W.D.O.</t>
  </si>
  <si>
    <t>Office of the Municipal Agriculturist</t>
  </si>
  <si>
    <t>Office of the Municipal Health Unit I</t>
  </si>
  <si>
    <t>Office of the Municipal Health Unit II</t>
  </si>
  <si>
    <t>Office of the LDRRMO</t>
  </si>
  <si>
    <t>PERSONAL SERVICES</t>
  </si>
  <si>
    <t>Overtime Pay</t>
  </si>
  <si>
    <t>TOTAL PERSONAL SERVICES</t>
  </si>
  <si>
    <t>Terminal Leave Benefits</t>
  </si>
  <si>
    <t>Insurance Expenses</t>
  </si>
  <si>
    <t>General Services</t>
  </si>
  <si>
    <t>Electricity Expenses</t>
  </si>
  <si>
    <t>Office Supplies Expenses</t>
  </si>
  <si>
    <t>TOTAL APPROPRIATION</t>
  </si>
  <si>
    <t>-751</t>
  </si>
  <si>
    <t>-753</t>
  </si>
  <si>
    <t>-759</t>
  </si>
  <si>
    <t>-755</t>
  </si>
  <si>
    <t>-773</t>
  </si>
  <si>
    <t>-850</t>
  </si>
  <si>
    <t>-969</t>
  </si>
  <si>
    <t>-749</t>
  </si>
  <si>
    <t>-760</t>
  </si>
  <si>
    <t>-705</t>
  </si>
  <si>
    <t>9997-1</t>
  </si>
  <si>
    <t>9997-2</t>
  </si>
  <si>
    <t>9997-3</t>
  </si>
  <si>
    <t>9997-4</t>
  </si>
  <si>
    <t>9997-5</t>
  </si>
  <si>
    <t>9997-6</t>
  </si>
  <si>
    <t>9997-7</t>
  </si>
  <si>
    <t>9997-8</t>
  </si>
  <si>
    <t>9997-9</t>
  </si>
  <si>
    <t>9997-10</t>
  </si>
  <si>
    <t>9999-3</t>
  </si>
  <si>
    <t>9999-2</t>
  </si>
  <si>
    <t>9999-3a</t>
  </si>
  <si>
    <t>9999-3b</t>
  </si>
  <si>
    <t>9999-3c</t>
  </si>
  <si>
    <t>9999-3d</t>
  </si>
  <si>
    <t>9999-4</t>
  </si>
  <si>
    <t>1011-4</t>
  </si>
  <si>
    <t>1011-13</t>
  </si>
  <si>
    <t>1011-14</t>
  </si>
  <si>
    <t>Salaries &amp; Wages-Casual</t>
  </si>
  <si>
    <t>Training Expenses</t>
  </si>
  <si>
    <t>-719</t>
  </si>
  <si>
    <t>I.</t>
  </si>
  <si>
    <t>BEGINNING CASH BALANCE</t>
  </si>
  <si>
    <t>II.</t>
  </si>
  <si>
    <t>RECEIPTS</t>
  </si>
  <si>
    <t>a. Real Property Tax (RPT)</t>
  </si>
  <si>
    <t>TOTAL TAX REVENUE</t>
  </si>
  <si>
    <t>a. Regulatory Fees</t>
  </si>
  <si>
    <t>b. Business and Service Income</t>
  </si>
  <si>
    <t>A. LOCAL SOURCES</t>
  </si>
  <si>
    <t>Salaries &amp; Wages</t>
  </si>
  <si>
    <t>Salaries &amp; Wages-Regular</t>
  </si>
  <si>
    <t>Other Compensation</t>
  </si>
  <si>
    <t>Personal Economic Relief Allowance (PERA)</t>
  </si>
  <si>
    <t>Transportation Allowance (TA)</t>
  </si>
  <si>
    <t>Representation Allowance (RA)</t>
  </si>
  <si>
    <t>Clothing/Uniform Allowance</t>
  </si>
  <si>
    <t>Subsistence, Laundry and Quarter Allowance</t>
  </si>
  <si>
    <t>Other Bonuses and Allowances (Loyalty Bonus)</t>
  </si>
  <si>
    <t>Hazard Pay</t>
  </si>
  <si>
    <t xml:space="preserve">Cash Gift </t>
  </si>
  <si>
    <t>Year End Bonus</t>
  </si>
  <si>
    <t>PAG-IBIG Contributions</t>
  </si>
  <si>
    <t>PHILHEALTH Contributions</t>
  </si>
  <si>
    <t>Health Workers Benefits (Medico-legal allowance)</t>
  </si>
  <si>
    <t>Monetization of Leave Credits</t>
  </si>
  <si>
    <t xml:space="preserve">MAINTENANCE AND OTHER OPERATING EXPENSES </t>
  </si>
  <si>
    <t>Traveling Expenses</t>
  </si>
  <si>
    <t>Accountable Forms Expenses</t>
  </si>
  <si>
    <t>Drugs and Medicines Expenses</t>
  </si>
  <si>
    <t>Medical, Dental &amp; Laboratory Supplies Expenses</t>
  </si>
  <si>
    <t>Postage &amp; Deliveries</t>
  </si>
  <si>
    <t>Telephone Expenses</t>
  </si>
  <si>
    <t>Telephone Expenses (Moblie)</t>
  </si>
  <si>
    <t>Advertising Expenses</t>
  </si>
  <si>
    <t>Representation Expenses</t>
  </si>
  <si>
    <t>Discretionary Fund</t>
  </si>
  <si>
    <t>Extra-Ordinary &amp; Miscellaneous Expenses</t>
  </si>
  <si>
    <t>Fidelity Bond Premiums</t>
  </si>
  <si>
    <t>Other Maintenance &amp; Operating Expenses</t>
  </si>
  <si>
    <t>CAPITAL OUTLAYS</t>
  </si>
  <si>
    <t>SPECIAL PURPOSE APPROPRIATIONS (SPAs)</t>
  </si>
  <si>
    <t>20% Development Fund</t>
  </si>
  <si>
    <t>Aid to Barangays</t>
  </si>
  <si>
    <t>(ACTUAL)</t>
  </si>
  <si>
    <t>First Semester</t>
  </si>
  <si>
    <t>Second Semester</t>
  </si>
  <si>
    <t>(ESTIMATE)</t>
  </si>
  <si>
    <t>(PROPOSED)</t>
  </si>
  <si>
    <t xml:space="preserve">Other Local Taxes </t>
  </si>
  <si>
    <t>Business Tax</t>
  </si>
  <si>
    <t>Fines and Penalties</t>
  </si>
  <si>
    <t>Inspection Fees</t>
  </si>
  <si>
    <t>1. Inspection Fees</t>
  </si>
  <si>
    <t>2. Permit Fees (Mayor)</t>
  </si>
  <si>
    <t>1. Medical Fees</t>
  </si>
  <si>
    <t>2. Market and Slaughterhouse Fees</t>
  </si>
  <si>
    <t>3. Ante-Post Mortem</t>
  </si>
  <si>
    <t>4. Garbage Fees</t>
  </si>
  <si>
    <t>5. Income from Economic Enterprise</t>
  </si>
  <si>
    <t>Stall Rental</t>
  </si>
  <si>
    <t>Cash Tickets</t>
  </si>
  <si>
    <t>Electric Bill</t>
  </si>
  <si>
    <t>Goodwill</t>
  </si>
  <si>
    <t>-701</t>
  </si>
  <si>
    <t>-711</t>
  </si>
  <si>
    <t>-713</t>
  </si>
  <si>
    <t>-714</t>
  </si>
  <si>
    <t>-715</t>
  </si>
  <si>
    <t>-716</t>
  </si>
  <si>
    <t>-717</t>
  </si>
  <si>
    <t>-721</t>
  </si>
  <si>
    <t>-723</t>
  </si>
  <si>
    <t>-724</t>
  </si>
  <si>
    <t>-725</t>
  </si>
  <si>
    <t>-731</t>
  </si>
  <si>
    <t>-732</t>
  </si>
  <si>
    <t>-733</t>
  </si>
  <si>
    <t>-734</t>
  </si>
  <si>
    <t>-742</t>
  </si>
  <si>
    <t>-743</t>
  </si>
  <si>
    <t>-756</t>
  </si>
  <si>
    <t>-761</t>
  </si>
  <si>
    <t>-771</t>
  </si>
  <si>
    <t>-772</t>
  </si>
  <si>
    <t>-780</t>
  </si>
  <si>
    <t>-783</t>
  </si>
  <si>
    <t>-841</t>
  </si>
  <si>
    <t>-883</t>
  </si>
  <si>
    <t>-884</t>
  </si>
  <si>
    <t>-892</t>
  </si>
  <si>
    <t>-767</t>
  </si>
  <si>
    <t>-795</t>
  </si>
  <si>
    <t>-893</t>
  </si>
  <si>
    <t>ACCOUNT CODE</t>
  </si>
  <si>
    <t>TOTAL APPROPRIATIONS</t>
  </si>
  <si>
    <t xml:space="preserve">CURRENT YEAR </t>
  </si>
  <si>
    <t>Employees Compensation Insurance Premiums</t>
  </si>
  <si>
    <t>Retirement and Life Insurance Premiums</t>
  </si>
  <si>
    <t>1011-20</t>
  </si>
  <si>
    <t>1011-21</t>
  </si>
  <si>
    <t>1011-22</t>
  </si>
  <si>
    <t>Performance Enhancement Incentive (PEI)</t>
  </si>
  <si>
    <t>Office Equipment</t>
  </si>
  <si>
    <t>5-01-01-010</t>
  </si>
  <si>
    <t>5-01-02-010</t>
  </si>
  <si>
    <t>5-01-02-020</t>
  </si>
  <si>
    <t>5-01-02-030</t>
  </si>
  <si>
    <t>5-01-02-040</t>
  </si>
  <si>
    <t>5-01-02-080</t>
  </si>
  <si>
    <t>5-01-02-990</t>
  </si>
  <si>
    <t>5-01-02-150</t>
  </si>
  <si>
    <t>5-01-02-140</t>
  </si>
  <si>
    <t>5-01-03-010</t>
  </si>
  <si>
    <t>5-01-03-020</t>
  </si>
  <si>
    <t>5-01-03-030</t>
  </si>
  <si>
    <t>5-01-03-040</t>
  </si>
  <si>
    <t>5-01-04-030</t>
  </si>
  <si>
    <t>5-02-01-010</t>
  </si>
  <si>
    <t>5-02-02-010</t>
  </si>
  <si>
    <t>5-02-03-010</t>
  </si>
  <si>
    <t>5-02-05-010</t>
  </si>
  <si>
    <t>5-02-05-020</t>
  </si>
  <si>
    <t>5-02-13-990</t>
  </si>
  <si>
    <t>5-02-99-990</t>
  </si>
  <si>
    <t>5-01-02-050</t>
  </si>
  <si>
    <t>5-01-02-110</t>
  </si>
  <si>
    <t>5-01-02-130</t>
  </si>
  <si>
    <t>5-01-04-990</t>
  </si>
  <si>
    <t>5-02-03-020</t>
  </si>
  <si>
    <t>5-02-03-070</t>
  </si>
  <si>
    <t>5-02-03-080</t>
  </si>
  <si>
    <t>5-02-03-090</t>
  </si>
  <si>
    <t>5-02-99-010</t>
  </si>
  <si>
    <t>5-02-99-030</t>
  </si>
  <si>
    <t>5-02-13-060</t>
  </si>
  <si>
    <t>5-02-10-030</t>
  </si>
  <si>
    <t>5-02-16-020</t>
  </si>
  <si>
    <t>4-01-05-040</t>
  </si>
  <si>
    <t>4-02-01-100</t>
  </si>
  <si>
    <t>4-02-01-010</t>
  </si>
  <si>
    <t>4-02-02-160</t>
  </si>
  <si>
    <t>4-02-02-200</t>
  </si>
  <si>
    <t>5-01-01-020</t>
  </si>
  <si>
    <t>5-02-04-020</t>
  </si>
  <si>
    <t>5-02-12-990</t>
  </si>
  <si>
    <t>5-02-16-030</t>
  </si>
  <si>
    <t>4-01-03-030</t>
  </si>
  <si>
    <t>4-02-01-160</t>
  </si>
  <si>
    <t>4-02-02-150</t>
  </si>
  <si>
    <t>4-02-02-190</t>
  </si>
  <si>
    <t>4-02-02-140</t>
  </si>
  <si>
    <t xml:space="preserve">TOTAL MAINTENANCE AND OTHER OPERATING EXPENSES </t>
  </si>
  <si>
    <t>TOTAL CAPITAL OUTLAY</t>
  </si>
  <si>
    <t>Aid to PNP</t>
  </si>
  <si>
    <t>Aid to Bureau of Fire Protection</t>
  </si>
  <si>
    <t>Aid to Trial Court</t>
  </si>
  <si>
    <t>Aid to COA</t>
  </si>
  <si>
    <t>Aid to Prosecutor's Office</t>
  </si>
  <si>
    <t>Aid to Public Attorney's Office (PAO)</t>
  </si>
  <si>
    <t>Other Bonuses and Allowances (Mid Year Bonus)</t>
  </si>
  <si>
    <t>Aid to DILG</t>
  </si>
  <si>
    <t>Aid to COMELEC</t>
  </si>
  <si>
    <t>Aid to BIR</t>
  </si>
  <si>
    <t>Medicare Para sa Masa</t>
  </si>
  <si>
    <t>Aid to Veterans</t>
  </si>
  <si>
    <t>Aid to BHW</t>
  </si>
  <si>
    <t>Aid to PLEB</t>
  </si>
  <si>
    <t>Aid to Scouting</t>
  </si>
  <si>
    <t>SPES-Special Program for Employment of Students</t>
  </si>
  <si>
    <t>Maintenance of Plaza, Parks, and Monuments</t>
  </si>
  <si>
    <t>Maintenance of Roads and Bridges</t>
  </si>
  <si>
    <t>Other Services</t>
  </si>
  <si>
    <t>Capability Building</t>
  </si>
  <si>
    <t>GAD</t>
  </si>
  <si>
    <t>Nutrition Program</t>
  </si>
  <si>
    <t>Population Development Program</t>
  </si>
  <si>
    <t>Environmental Sanitation Program</t>
  </si>
  <si>
    <t>Sports Development</t>
  </si>
  <si>
    <t>Legal Services</t>
  </si>
  <si>
    <t>Non-Formal Education</t>
  </si>
  <si>
    <t>Mun. Anti- Drug Addiction Campaign</t>
  </si>
  <si>
    <t>Senior Citizens &amp; the Differently-Abled</t>
  </si>
  <si>
    <t xml:space="preserve">          OSCA</t>
  </si>
  <si>
    <t xml:space="preserve">          PDAO</t>
  </si>
  <si>
    <t xml:space="preserve">          STAC</t>
  </si>
  <si>
    <t xml:space="preserve">          Plans &amp; Programs</t>
  </si>
  <si>
    <t>Maintenance of Municipal Building &amp; Other Facilities</t>
  </si>
  <si>
    <t>Tourism Development</t>
  </si>
  <si>
    <t>Water Expenses</t>
  </si>
  <si>
    <t>Telephone Expenses-Landline</t>
  </si>
  <si>
    <t>Doctor to the Barrios</t>
  </si>
  <si>
    <t>IT Equipment &amp; Software</t>
  </si>
  <si>
    <t>-221</t>
  </si>
  <si>
    <t>1-07-05-020</t>
  </si>
  <si>
    <t>-223</t>
  </si>
  <si>
    <t>Furniture and Fixtures</t>
  </si>
  <si>
    <t>-222</t>
  </si>
  <si>
    <t>1-07-07-010</t>
  </si>
  <si>
    <t>Motor Vehicles</t>
  </si>
  <si>
    <t>Communication Equipment</t>
  </si>
  <si>
    <t>1-07-05-070</t>
  </si>
  <si>
    <t>1-07-06-010</t>
  </si>
  <si>
    <t>Aid to Asingan Community Hospital</t>
  </si>
  <si>
    <t>Public Affairs Fund</t>
  </si>
  <si>
    <t>Local Council for the Protection of Children (LCPC)</t>
  </si>
  <si>
    <t xml:space="preserve">Republic of the Philippines </t>
  </si>
  <si>
    <t>1011-3a</t>
  </si>
  <si>
    <t>Aid to Child Development Workers</t>
  </si>
  <si>
    <t>IT Equipment &amp; Software (Laptop &amp; Printer)</t>
  </si>
  <si>
    <t>Aid to BNS</t>
  </si>
  <si>
    <t>-229</t>
  </si>
  <si>
    <t>Repairs &amp; Maintenance-Machinery and Equipment</t>
  </si>
  <si>
    <t>Other Infrastructure Assets</t>
  </si>
  <si>
    <t>1-07-03-990</t>
  </si>
  <si>
    <t>Fuel, Oil, &amp; Lubricant Expenses</t>
  </si>
  <si>
    <t>Repairs &amp; Maintenance-Transportation Equipment</t>
  </si>
  <si>
    <t>Repairs &amp; Maintenance-Machinery &amp; Equipment</t>
  </si>
  <si>
    <t>Aid to Public Schools</t>
  </si>
  <si>
    <t>Expenditures</t>
  </si>
  <si>
    <t>(ACTUAL AND ESTIMATE)</t>
  </si>
  <si>
    <t>-241</t>
  </si>
  <si>
    <t>Maintenance of Motor Vehicles</t>
  </si>
  <si>
    <t>1-07-04-990</t>
  </si>
  <si>
    <t>-203</t>
  </si>
  <si>
    <t>Aid to BSPO</t>
  </si>
  <si>
    <t>9997-12</t>
  </si>
  <si>
    <t>9997-14</t>
  </si>
  <si>
    <t>Repairs &amp; Maintenance-Buildings &amp; Other Structures</t>
  </si>
  <si>
    <t>5-02-13-040</t>
  </si>
  <si>
    <t>5-02-13-050</t>
  </si>
  <si>
    <t>Repairs &amp; Maintenance-Building</t>
  </si>
  <si>
    <t>Total Station (Surveying Equipment)</t>
  </si>
  <si>
    <t>1-07-05-990</t>
  </si>
  <si>
    <t>1011-19</t>
  </si>
  <si>
    <t>1011-23</t>
  </si>
  <si>
    <t>ENGR. CARLOS F. LOPEZ, JR.</t>
  </si>
  <si>
    <t>IT Equipment &amp; Software-Desktop &amp; Laptop</t>
  </si>
  <si>
    <t>Aid to POSG</t>
  </si>
  <si>
    <t>9997-15</t>
  </si>
  <si>
    <t>Other Structures</t>
  </si>
  <si>
    <t>Aid to Senior Citizens</t>
  </si>
  <si>
    <t>9997-16</t>
  </si>
  <si>
    <t>Aid to Legal Consultant</t>
  </si>
  <si>
    <t>Financial Assistance to Students (PSU &amp; UCU)</t>
  </si>
  <si>
    <t>9997-17</t>
  </si>
  <si>
    <t>1011-24</t>
  </si>
  <si>
    <t>1011-25</t>
  </si>
  <si>
    <t>1011-26</t>
  </si>
  <si>
    <t>1011-27</t>
  </si>
  <si>
    <t>1011-28</t>
  </si>
  <si>
    <t>Other Personnel Benefits (SRI)</t>
  </si>
  <si>
    <t>Subsistence Allowance</t>
  </si>
  <si>
    <t>1011-29</t>
  </si>
  <si>
    <t>1-07-03-010</t>
  </si>
  <si>
    <t>Road Networks</t>
  </si>
  <si>
    <t>1-07-05-030</t>
  </si>
  <si>
    <t>Motor Vehicles-Motorcycle</t>
  </si>
  <si>
    <t>Other Transportation Equipment-Bike</t>
  </si>
  <si>
    <t>1-07-06-990</t>
  </si>
  <si>
    <t>9997-11</t>
  </si>
  <si>
    <t>9997-13</t>
  </si>
  <si>
    <t>Anniversary Bonus</t>
  </si>
  <si>
    <t>Gratuity Pay (OMOOE)</t>
  </si>
  <si>
    <t>1-07-05-110</t>
  </si>
  <si>
    <t>Medical Equipment</t>
  </si>
  <si>
    <t xml:space="preserve">Office Equipment </t>
  </si>
  <si>
    <t xml:space="preserve">Furniture and Fixtures </t>
  </si>
  <si>
    <t>Other Machinery and Equipment</t>
  </si>
  <si>
    <t>3. Burial Permit Fee</t>
  </si>
  <si>
    <t>4. Fees on Weights and Measures</t>
  </si>
  <si>
    <t>5. Cemetery Fee</t>
  </si>
  <si>
    <t>6. Exhumation Fee</t>
  </si>
  <si>
    <t>Devolved Programs and Services</t>
  </si>
  <si>
    <t>Collective Negotiation Agreement (C.N.A.)</t>
  </si>
  <si>
    <t>Kasalang Bayan</t>
  </si>
  <si>
    <t>TOTAL SPECIAL PURPOSE APPROPRIATIONS (SPAs)</t>
  </si>
  <si>
    <t>Province of Pangasinan</t>
  </si>
  <si>
    <t>OFFICE OF THE SECRETARY TO THE SANGGUNIANG BAYAN</t>
  </si>
  <si>
    <t>-over-</t>
  </si>
  <si>
    <t>------------------------</t>
  </si>
  <si>
    <t>Page 21</t>
  </si>
  <si>
    <t>---------------------------------------------------------------------------------------------------------------------------------------------------------------------------------------------------------</t>
  </si>
  <si>
    <t>---------------------------</t>
  </si>
  <si>
    <t>Office</t>
  </si>
  <si>
    <t xml:space="preserve">Personal </t>
  </si>
  <si>
    <t>Financial</t>
  </si>
  <si>
    <t>Services</t>
  </si>
  <si>
    <t>Expenses</t>
  </si>
  <si>
    <t>a</t>
  </si>
  <si>
    <t>.</t>
  </si>
  <si>
    <t>b</t>
  </si>
  <si>
    <t>c</t>
  </si>
  <si>
    <t>d</t>
  </si>
  <si>
    <t>e</t>
  </si>
  <si>
    <t>f</t>
  </si>
  <si>
    <t>g</t>
  </si>
  <si>
    <t>h</t>
  </si>
  <si>
    <t>i</t>
  </si>
  <si>
    <t>j</t>
  </si>
  <si>
    <t>k</t>
  </si>
  <si>
    <t>l</t>
  </si>
  <si>
    <t>m</t>
  </si>
  <si>
    <t>n</t>
  </si>
  <si>
    <t>o</t>
  </si>
  <si>
    <t>Special Purpose Appropriations</t>
  </si>
  <si>
    <t>Local Economic Enterprise-Market</t>
  </si>
  <si>
    <t>q</t>
  </si>
  <si>
    <t>Special Purpose Appropriation (5% LDRRMF)</t>
  </si>
  <si>
    <r>
      <t xml:space="preserve">For this purpose </t>
    </r>
    <r>
      <rPr>
        <b/>
        <sz val="12"/>
        <rFont val="Arial "/>
      </rPr>
      <t xml:space="preserve">"savings" </t>
    </r>
    <r>
      <rPr>
        <sz val="12"/>
        <rFont val="Arial "/>
      </rPr>
      <t>refer to portions or balances of any programmed appropriation free from any obligation or encumbrance, still available after the satisfactory completion or unavoidable discontinuance or abandonment of the work, activity or purpose for which the appropriation is authorized.</t>
    </r>
  </si>
  <si>
    <r>
      <rPr>
        <b/>
        <sz val="12"/>
        <rFont val="Arial "/>
      </rPr>
      <t xml:space="preserve">"Augmentation" </t>
    </r>
    <r>
      <rPr>
        <sz val="12"/>
        <rFont val="Arial "/>
      </rPr>
      <t>implies the existence in the budget of an item, project, activity or purpose with an appropriation which, upon implementation or subsequent evaluation of needed sources, is determined to be deficient.</t>
    </r>
  </si>
  <si>
    <t>Section V. Separability Clause. If for any reason, any Section or provision of this Appropriation Ordinance or disallowed in Budget Review or declared invalid by proper authorities, other Sections or provisions hereof that are not affected thereby, shall continue to be in full force and effect.</t>
  </si>
  <si>
    <t>Section VI. Dissemination. This ordinance shall be duly disseminated to all concerned, for immediate and proper action.</t>
  </si>
  <si>
    <t>*</t>
  </si>
  <si>
    <t>Aid to CVO (Insurance Premium)</t>
  </si>
  <si>
    <t>Aid to Balay Silangan</t>
  </si>
  <si>
    <t xml:space="preserve">IT Equipment &amp; Software </t>
  </si>
  <si>
    <t>Furniture and Fixtures-Plastic Palettes</t>
  </si>
  <si>
    <t>Other Structures (Devolved Programs &amp; Services)</t>
  </si>
  <si>
    <t xml:space="preserve">Appro. Ord. No. </t>
  </si>
  <si>
    <t xml:space="preserve">TOTAL </t>
  </si>
  <si>
    <t>Special Purpose</t>
  </si>
  <si>
    <t>Section III. Use of Savings and Augmentation: In accordance with Section 336 of Republic Act No. 7160, otherwise known as the Local Government Code of 1991, the Mayor and the Presiding Officer of the Sangguniang Bayan are authorized to augment any item in the approved annual budget for their respective offices from savings in other items within the same expense class of their respective appropriations.</t>
  </si>
  <si>
    <t>Section IV. Priority in the use of Personal Service Savings. Priority shall be given to the personnel benefits of local employees in the use of personal service savings.</t>
  </si>
  <si>
    <t>SUB-TOTAL SPECIAL PURPOSE APPROPRIATIONS (SPAs)</t>
  </si>
  <si>
    <t>GRAND TOTAL</t>
  </si>
  <si>
    <t>Traveling Expenses- Foreign</t>
  </si>
  <si>
    <t>5-02-01-020</t>
  </si>
  <si>
    <t>Repairs &amp; Maintenance-Other Property, Plant &amp; Equipment</t>
  </si>
  <si>
    <t>Other Bonuses and Allowances (Medical Allowance)</t>
  </si>
  <si>
    <t>Other Bonuses &amp; Allowances</t>
  </si>
  <si>
    <t>Other Personnel Benefits (Collective Negotiation Agreement)</t>
  </si>
  <si>
    <t>Travelling Expenses- Foreign</t>
  </si>
  <si>
    <t>Repairs &amp; Maintenance- Machinery &amp; Equipment</t>
  </si>
  <si>
    <t xml:space="preserve">Support to POC Secretariat </t>
  </si>
  <si>
    <t>9993-1a</t>
  </si>
  <si>
    <t>Implementation of POPS PPA's</t>
  </si>
  <si>
    <t>9993-1b</t>
  </si>
  <si>
    <t>1011-1A</t>
  </si>
  <si>
    <t>1011-1B</t>
  </si>
  <si>
    <t>6544A</t>
  </si>
  <si>
    <t>6544B</t>
  </si>
  <si>
    <t>Maintenance of Plaza, Parks, and Monuments (Replacement &amp; Installation of Plaza Garden Lights)</t>
  </si>
  <si>
    <t>6544C</t>
  </si>
  <si>
    <t>Katarungang Pambarangay</t>
  </si>
  <si>
    <t>MDO</t>
  </si>
  <si>
    <t>Enclosure of ground floor @ PNP Quarters</t>
  </si>
  <si>
    <t>Finishing works of Dupac Child Development Center</t>
  </si>
  <si>
    <t>Finishing works of Health Center @ Brgy. Dupac</t>
  </si>
  <si>
    <t>Aid to Cooperative Development Program</t>
  </si>
  <si>
    <t>Aid to CSO's</t>
  </si>
  <si>
    <t>Aid CVO's &amp; BHW</t>
  </si>
  <si>
    <t>Installation of solar water pump @ Sitio Departe</t>
  </si>
  <si>
    <t>Installation of transformer @ San Vicente West Integrated School</t>
  </si>
  <si>
    <t>Installation of solar light @ Zine 2,3 &amp; 4 San Vicente East</t>
  </si>
  <si>
    <t>Installation of solar light @ Zone 7 Macalong-Toboy Boundary</t>
  </si>
  <si>
    <t>Construction of Multi-Purpose pavement @ San Vicente East</t>
  </si>
  <si>
    <t>Improvement of Children's Park</t>
  </si>
  <si>
    <t>Purchase of Brgy. Patrol- Dupac</t>
  </si>
  <si>
    <t>Baro-Dumaquit Domanpot FMR</t>
  </si>
  <si>
    <t>Checkgate Main Irrigation canal @ Calepaan</t>
  </si>
  <si>
    <t>Improvement of Media Center AVRNHS</t>
  </si>
  <si>
    <t>1011-30</t>
  </si>
  <si>
    <t>Aid to MAFC</t>
  </si>
  <si>
    <t>1011-31</t>
  </si>
  <si>
    <t xml:space="preserve">Additional fund for the purchase of garbage truck to be used at Poblacion West </t>
  </si>
  <si>
    <t>1011-32</t>
  </si>
  <si>
    <t>Rehabilation of the flooring of Multi-Purpose Hall/ Evacuation of Don T. Bauzon Elementary School</t>
  </si>
  <si>
    <t>1011-33</t>
  </si>
  <si>
    <t>Financial Assistance- ATODA</t>
  </si>
  <si>
    <t>1011-34</t>
  </si>
  <si>
    <t>Books</t>
  </si>
  <si>
    <t>-224</t>
  </si>
  <si>
    <t>1-07-07-020</t>
  </si>
  <si>
    <t>Other Allowances</t>
  </si>
  <si>
    <t>Real Property Tax Administration Fund (Supplies)</t>
  </si>
  <si>
    <t>Extra-Ordinary &amp; Miscellaneous Expenses (Plans &amp; Programs)</t>
  </si>
  <si>
    <t>Extra-Ordinary &amp; Miscellaneous Expenses (Plans &amp; Programs- Pantawid Pamilya)</t>
  </si>
  <si>
    <t>Repairs &amp; Maintenance-Building and Other Structures</t>
  </si>
  <si>
    <t>Agricultural, Fishery and Forestry Equipment</t>
  </si>
  <si>
    <t>1-07-05-040</t>
  </si>
  <si>
    <t>Medical, Dental and Laboratory Equipment (Devolved Programs &amp; Services)</t>
  </si>
  <si>
    <t>1-07-05-100</t>
  </si>
  <si>
    <t>Other Bonuses and Allowances (Medical Allowance )</t>
  </si>
  <si>
    <t>IT Equipment</t>
  </si>
  <si>
    <t>P.    Summary of 2025 Proposed New Appropriations, by office</t>
  </si>
  <si>
    <t>FDPP Form 1a - Annual Budget Report, by Office of Department (DBM LBP Form No. 2)</t>
  </si>
  <si>
    <t xml:space="preserve">Note: This Form is to be filled-up or prepared by Office or by Department separately. Thus, the Annual Budget shall be composed of separate sheets of this form per Office or Department.  </t>
  </si>
  <si>
    <t>In addition, Form 1b - ABR, Summary must also be filled-up and submitted.</t>
  </si>
  <si>
    <t>PROGRAMMED APPROPRIATION AND OBLIGATION BY OBJECT OF EXPENDITURE</t>
  </si>
  <si>
    <t>REGION:</t>
  </si>
  <si>
    <t>I</t>
  </si>
  <si>
    <t>CALENDAR YEAR:</t>
  </si>
  <si>
    <t>PROVINCE:</t>
  </si>
  <si>
    <t>PANGASINAN</t>
  </si>
  <si>
    <t>OFFICE:</t>
  </si>
  <si>
    <t>OFFICE OF THE MUNICIPAL MAYOR</t>
  </si>
  <si>
    <t>CITY/MUNICIPALITY:  ASINGAN</t>
  </si>
  <si>
    <t>We hereby certify that we have reviewed the contents and hereby attest to the varacity and correctness of the data or information contained in this document.</t>
  </si>
  <si>
    <t>Prepared:</t>
  </si>
  <si>
    <t>Reviewed:</t>
  </si>
  <si>
    <t>Approved:</t>
  </si>
  <si>
    <t>EMELY S. BADUA</t>
  </si>
  <si>
    <t>Department Head</t>
  </si>
  <si>
    <t>Local Budget Officer</t>
  </si>
  <si>
    <t>Local Chief Executive</t>
  </si>
  <si>
    <t>HON. HEIDEE GANIGAN-CHUA</t>
  </si>
  <si>
    <t>OFFICE OF THE SANGGUNIANG BAYAN</t>
  </si>
  <si>
    <t xml:space="preserve">OFFICE OF THE MUNICIPAL PLANNING AND </t>
  </si>
  <si>
    <t>DEVELOPMENT COORDINATOR</t>
  </si>
  <si>
    <t>EnP. MANILA T. CORTEZ, RN.</t>
  </si>
  <si>
    <t>Temporary Designate-Department Head</t>
  </si>
  <si>
    <t>OFFICE OF THE MUNICIPAL CIVIL REGISTRAR</t>
  </si>
  <si>
    <t>ENGR. BENJAMIN B. GINES, JR.</t>
  </si>
  <si>
    <t>OIC-Department Head</t>
  </si>
  <si>
    <t>OFFICE OF THE MUNICIPAL BUDGET OFFICER</t>
  </si>
  <si>
    <t>OFFICE OF THE MUNICIPAL ACCOUNTANT</t>
  </si>
  <si>
    <t>MARJORIE V. TINTE, CPA</t>
  </si>
  <si>
    <t>OFFICE OF THE MUNICIPAL TREASURER</t>
  </si>
  <si>
    <t>IMELDA T. SISON</t>
  </si>
  <si>
    <t>OFFICE OF THE MUNICIPAL ASSESSOR</t>
  </si>
  <si>
    <t>EDNA C. PADAYAO</t>
  </si>
  <si>
    <t>OFFICE OF THE MUNICIPAL ENGINEER</t>
  </si>
  <si>
    <t xml:space="preserve">OFFICE OF THE MUNICIPAL SOCIAL WELFARE </t>
  </si>
  <si>
    <t>AND DEVELOPMENT</t>
  </si>
  <si>
    <t>TERESA O. MAMALIO</t>
  </si>
  <si>
    <t>OFFICE OF THE MUNICIPAL AGRICULTURIST</t>
  </si>
  <si>
    <t>MINERVA L. ROSAS</t>
  </si>
  <si>
    <t>OFFICE OF THE MUNICIPAL HEALTH</t>
  </si>
  <si>
    <t>OFFICER-1</t>
  </si>
  <si>
    <t>RONNIE S. TOMAS, M.D.</t>
  </si>
  <si>
    <t>OFFICER-2</t>
  </si>
  <si>
    <t>OFFICE OF THE LOCAL DISASTER RISK</t>
  </si>
  <si>
    <t>REDUCTION MANAGEMENT OFFICER</t>
  </si>
  <si>
    <t>JESUS G. CARDINEZ</t>
  </si>
  <si>
    <t>ECONOMIC ENTERPRISE MANAGEMENT</t>
  </si>
  <si>
    <t>2025</t>
  </si>
  <si>
    <t>BUDGET OF EXPENDITURES AND SOURCES OF FINANCING</t>
  </si>
  <si>
    <t>ASINGAN, PANGASINAN</t>
  </si>
  <si>
    <t>GENERAL FUND</t>
  </si>
  <si>
    <t>Productivity Enhancement Incentive (PEI)</t>
  </si>
  <si>
    <t>Other Bonuses and Allowances (Mid-Year Bonus)</t>
  </si>
  <si>
    <t xml:space="preserve">Other Bonuses &amp; Allowances </t>
  </si>
  <si>
    <t>Other Bonuses and Allowance (Medical Allowance)</t>
  </si>
  <si>
    <t>Other Personnel Benefits (Collective Negotiation Agreement))</t>
  </si>
  <si>
    <t>Rice Assistance</t>
  </si>
  <si>
    <t>TOTAL CAPITAL OUTLAYS</t>
  </si>
  <si>
    <t>5% LDRRM Fund</t>
  </si>
  <si>
    <t>Other Authorized SPAs</t>
  </si>
  <si>
    <t>TOTAL EXPENDITURES</t>
  </si>
  <si>
    <t>7</t>
  </si>
  <si>
    <t>MARKET</t>
  </si>
  <si>
    <t>Other Machinery and Equipment-Water Pump</t>
  </si>
  <si>
    <t>FDPP Form 1b - Annual Budget Report, Summary  
(DBM LBP Form No. 3)</t>
  </si>
  <si>
    <t>REGION: I</t>
  </si>
  <si>
    <t>PROVINCE: PANGASINAN</t>
  </si>
  <si>
    <t>CITY/MUNICIPALITY: ASINGAN</t>
  </si>
  <si>
    <t xml:space="preserve">             ______________________
                   Department Head</t>
  </si>
  <si>
    <t>EMELY S. BADUA
Local Budget Officer</t>
  </si>
  <si>
    <t>ENGR. CARLOS F. LOPEZ, JR.
Local Chief Executive</t>
  </si>
  <si>
    <t>Additional fund for setting up the mobile IT Training Center</t>
  </si>
  <si>
    <t>Procurement of CCTV in the enrty and exit points of the Municipality</t>
  </si>
  <si>
    <t>Purchase sprayer for the farmers (Excies Tax)</t>
  </si>
  <si>
    <t>Continuation of Concreting of FMR @ Zone 2-4 Carosucan Sur (Excise Tax)</t>
  </si>
  <si>
    <t>1011-35</t>
  </si>
  <si>
    <t>1011-36</t>
  </si>
  <si>
    <t>1011-37</t>
  </si>
  <si>
    <t>1011-38</t>
  </si>
  <si>
    <t xml:space="preserve">Other Personnel Benefits </t>
  </si>
  <si>
    <t>Other Personnel Benefits</t>
  </si>
  <si>
    <t>1.0 CURRENT OPERATING EXPENDITURES</t>
  </si>
  <si>
    <t>1.1 PERSONAL SERVICES</t>
  </si>
  <si>
    <t xml:space="preserve">1.2 MAINTENANCE AND OTHER OPERATING EXPENSES </t>
  </si>
  <si>
    <t>2.0 CAPITAL OUTLAYS</t>
  </si>
  <si>
    <t>Medical, Dental &amp; Laboratory Equipment (Devolved Programs &amp; Services</t>
  </si>
  <si>
    <t>3.0 FINANCIAL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</si>
</sst>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00_-;\-* #,##0.00_-;_-* &quot;-&quot;??_-;_-@_-"/>
  </numFmts>
  <fonts count="39">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Narrow"/>
      <family val="2"/>
    </font>
    <font>
      <b/>
      <sz val="8"/>
      <name val="Arial Narrow"/>
      <family val="2"/>
    </font>
    <font>
      <b/>
      <sz val="10"/>
      <name val="Arial"/>
      <family val="2"/>
    </font>
    <font>
      <sz val="8"/>
      <name val="Arial"/>
      <family val="2"/>
    </font>
    <font>
      <sz val="10"/>
      <name val="Arial"/>
      <family val="2"/>
    </font>
    <font>
      <sz val="11"/>
      <name val="Arial Narrow"/>
      <family val="2"/>
    </font>
    <font>
      <sz val="12"/>
      <name val="Arial Narrow"/>
      <family val="2"/>
    </font>
    <font>
      <b/>
      <sz val="12"/>
      <name val="Arial Narrow"/>
      <family val="2"/>
    </font>
    <font>
      <b/>
      <sz val="12"/>
      <name val="Arial"/>
      <family val="2"/>
    </font>
    <font>
      <sz val="11"/>
      <color theme="1"/>
      <name val="Calibri"/>
      <family val="2"/>
      <scheme val="minor"/>
    </font>
    <font>
      <b/>
      <sz val="16"/>
      <name val="Arial Narrow"/>
      <family val="2"/>
    </font>
    <font>
      <b/>
      <sz val="12"/>
      <color theme="1"/>
      <name val="Arial Narrow"/>
      <family val="2"/>
    </font>
    <font>
      <sz val="12"/>
      <color theme="1"/>
      <name val="Arial Narrow"/>
      <family val="2"/>
    </font>
    <font>
      <sz val="12"/>
      <color theme="1"/>
      <name val="Arial"/>
      <family val="2"/>
    </font>
    <font>
      <b/>
      <sz val="18"/>
      <name val="Arial Narrow"/>
      <family val="2"/>
    </font>
    <font>
      <sz val="18"/>
      <name val="Arial"/>
      <family val="2"/>
    </font>
    <font>
      <sz val="11"/>
      <color indexed="8"/>
      <name val="Calibri"/>
      <family val="2"/>
    </font>
    <font>
      <b/>
      <sz val="10"/>
      <name val="Arial Narrow"/>
      <family val="2"/>
    </font>
    <font>
      <sz val="12"/>
      <name val="Arial"/>
      <family val="2"/>
    </font>
    <font>
      <sz val="10"/>
      <name val="Arial"/>
      <family val="2"/>
    </font>
    <font>
      <b/>
      <sz val="14"/>
      <color theme="1"/>
      <name val="Arial"/>
      <family val="2"/>
    </font>
    <font>
      <sz val="12"/>
      <name val="Arial "/>
    </font>
    <font>
      <b/>
      <sz val="12"/>
      <name val="Arial "/>
    </font>
    <font>
      <sz val="10"/>
      <name val="Arial "/>
    </font>
    <font>
      <sz val="9"/>
      <name val="Arial Narrow"/>
      <family val="2"/>
    </font>
    <font>
      <b/>
      <sz val="14"/>
      <name val="Arial"/>
      <family val="2"/>
    </font>
    <font>
      <b/>
      <sz val="18"/>
      <name val="Arial"/>
      <family val="2"/>
    </font>
    <font>
      <i/>
      <sz val="10"/>
      <name val="Arial Narrow"/>
      <family val="2"/>
    </font>
    <font>
      <b/>
      <sz val="8"/>
      <name val="Arial"/>
      <family val="2"/>
    </font>
    <font>
      <sz val="11"/>
      <color rgb="FF000000"/>
      <name val="Calibri"/>
      <family val="2"/>
    </font>
    <font>
      <sz val="7"/>
      <name val="Calibri"/>
      <family val="2"/>
    </font>
    <font>
      <b/>
      <sz val="11"/>
      <name val="Calibri"/>
      <family val="2"/>
    </font>
    <font>
      <sz val="11"/>
      <name val="Calibri"/>
      <family val="2"/>
    </font>
    <font>
      <sz val="8"/>
      <name val="Arial"/>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s>
  <cellStyleXfs count="19">
    <xf numFmtId="0" fontId="0" fillId="0" borderId="0"/>
    <xf numFmtId="43" fontId="4"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0" fontId="9" fillId="0" borderId="0"/>
    <xf numFmtId="0" fontId="14" fillId="0" borderId="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1" fillId="0" borderId="0"/>
    <xf numFmtId="0" fontId="2" fillId="0" borderId="0"/>
    <xf numFmtId="43" fontId="2" fillId="0" borderId="0" applyFont="0" applyFill="0" applyBorder="0" applyAlignment="0" applyProtection="0"/>
    <xf numFmtId="0" fontId="24" fillId="0" borderId="0"/>
    <xf numFmtId="0" fontId="1" fillId="0" borderId="0"/>
    <xf numFmtId="43" fontId="1" fillId="0" borderId="0" applyFont="0" applyFill="0" applyBorder="0" applyAlignment="0" applyProtection="0"/>
    <xf numFmtId="0" fontId="4" fillId="0" borderId="0"/>
    <xf numFmtId="0" fontId="1" fillId="0" borderId="0"/>
    <xf numFmtId="0" fontId="34" fillId="0" borderId="0"/>
  </cellStyleXfs>
  <cellXfs count="422">
    <xf numFmtId="0" fontId="0" fillId="0" borderId="0" xfId="0"/>
    <xf numFmtId="0" fontId="17" fillId="0" borderId="0" xfId="6" applyFont="1"/>
    <xf numFmtId="0" fontId="16" fillId="0" borderId="0" xfId="6" applyFont="1"/>
    <xf numFmtId="0" fontId="17" fillId="0" borderId="0" xfId="6" applyFont="1" applyAlignment="1">
      <alignment horizontal="center"/>
    </xf>
    <xf numFmtId="0" fontId="11" fillId="0" borderId="4" xfId="0" applyFont="1" applyBorder="1" applyAlignment="1">
      <alignment horizontal="center"/>
    </xf>
    <xf numFmtId="43" fontId="11" fillId="0" borderId="2" xfId="1" applyFont="1" applyBorder="1" applyAlignment="1"/>
    <xf numFmtId="43" fontId="11" fillId="0" borderId="3" xfId="1" applyFont="1" applyBorder="1" applyAlignment="1"/>
    <xf numFmtId="43" fontId="11" fillId="0" borderId="4" xfId="1" applyFont="1" applyBorder="1" applyAlignment="1"/>
    <xf numFmtId="0" fontId="11" fillId="2" borderId="4" xfId="0" applyFont="1" applyFill="1" applyBorder="1" applyAlignment="1">
      <alignment horizontal="center"/>
    </xf>
    <xf numFmtId="43" fontId="11" fillId="0" borderId="4" xfId="1" applyFont="1" applyBorder="1"/>
    <xf numFmtId="43" fontId="23" fillId="0" borderId="4" xfId="1" applyFont="1" applyBorder="1" applyAlignment="1">
      <alignment horizontal="right"/>
    </xf>
    <xf numFmtId="43" fontId="11" fillId="0" borderId="4" xfId="1" applyFont="1" applyBorder="1" applyAlignment="1">
      <alignment horizontal="right"/>
    </xf>
    <xf numFmtId="43" fontId="11" fillId="0" borderId="2" xfId="1" applyFont="1" applyBorder="1" applyAlignment="1">
      <alignment horizontal="right"/>
    </xf>
    <xf numFmtId="43" fontId="11" fillId="0" borderId="3" xfId="1" applyFont="1" applyBorder="1" applyAlignment="1">
      <alignment horizontal="right"/>
    </xf>
    <xf numFmtId="43" fontId="11" fillId="0" borderId="1" xfId="1" applyFont="1" applyBorder="1" applyAlignment="1">
      <alignment horizontal="right"/>
    </xf>
    <xf numFmtId="0" fontId="23" fillId="0" borderId="0" xfId="0" applyFont="1"/>
    <xf numFmtId="43" fontId="23" fillId="0" borderId="0" xfId="1" applyFont="1" applyBorder="1"/>
    <xf numFmtId="0" fontId="12" fillId="0" borderId="0" xfId="0" applyFont="1"/>
    <xf numFmtId="0" fontId="11" fillId="0" borderId="0" xfId="0" applyFont="1"/>
    <xf numFmtId="0" fontId="12" fillId="0" borderId="0" xfId="0" applyFont="1" applyAlignment="1">
      <alignment horizontal="right"/>
    </xf>
    <xf numFmtId="0" fontId="10" fillId="0" borderId="12" xfId="0" applyFont="1" applyBorder="1" applyAlignment="1">
      <alignment horizontal="left"/>
    </xf>
    <xf numFmtId="0" fontId="10" fillId="0" borderId="29" xfId="0" applyFont="1" applyBorder="1" applyAlignment="1">
      <alignment horizontal="left"/>
    </xf>
    <xf numFmtId="43" fontId="11" fillId="0" borderId="12" xfId="0" applyNumberFormat="1" applyFont="1" applyBorder="1"/>
    <xf numFmtId="0" fontId="10" fillId="0" borderId="20" xfId="0" applyFont="1" applyBorder="1" applyAlignment="1">
      <alignment horizontal="left"/>
    </xf>
    <xf numFmtId="43" fontId="11" fillId="0" borderId="20" xfId="0" applyNumberFormat="1" applyFont="1" applyBorder="1"/>
    <xf numFmtId="43" fontId="11" fillId="0" borderId="1" xfId="1" applyFont="1" applyBorder="1"/>
    <xf numFmtId="0" fontId="10" fillId="2" borderId="12" xfId="0" applyFont="1" applyFill="1" applyBorder="1" applyAlignment="1">
      <alignment horizontal="left"/>
    </xf>
    <xf numFmtId="43" fontId="11" fillId="2" borderId="4" xfId="1" applyFont="1" applyFill="1" applyBorder="1"/>
    <xf numFmtId="43" fontId="11" fillId="2" borderId="29" xfId="1" applyFont="1" applyFill="1" applyBorder="1"/>
    <xf numFmtId="43" fontId="11" fillId="2" borderId="4" xfId="0" applyNumberFormat="1" applyFont="1" applyFill="1" applyBorder="1"/>
    <xf numFmtId="43" fontId="11" fillId="2" borderId="12" xfId="0" applyNumberFormat="1" applyFont="1" applyFill="1" applyBorder="1"/>
    <xf numFmtId="0" fontId="12" fillId="0" borderId="0" xfId="13" applyFont="1"/>
    <xf numFmtId="0" fontId="11" fillId="0" borderId="0" xfId="13" applyFont="1"/>
    <xf numFmtId="0" fontId="23" fillId="0" borderId="0" xfId="13" applyFont="1"/>
    <xf numFmtId="0" fontId="4" fillId="0" borderId="0" xfId="13" applyFont="1"/>
    <xf numFmtId="0" fontId="5" fillId="0" borderId="0" xfId="13" applyFont="1"/>
    <xf numFmtId="43" fontId="23" fillId="0" borderId="37" xfId="7" applyFont="1" applyBorder="1"/>
    <xf numFmtId="49" fontId="13" fillId="0" borderId="4" xfId="13" applyNumberFormat="1" applyFont="1" applyBorder="1" applyAlignment="1">
      <alignment horizontal="center"/>
    </xf>
    <xf numFmtId="43" fontId="23" fillId="0" borderId="4" xfId="7" applyFont="1" applyBorder="1"/>
    <xf numFmtId="43" fontId="11" fillId="0" borderId="4" xfId="7" applyFont="1" applyBorder="1" applyAlignment="1">
      <alignment horizontal="right"/>
    </xf>
    <xf numFmtId="0" fontId="22" fillId="0" borderId="14" xfId="13" applyFont="1" applyBorder="1"/>
    <xf numFmtId="0" fontId="22" fillId="0" borderId="12" xfId="13" applyFont="1" applyBorder="1"/>
    <xf numFmtId="0" fontId="22" fillId="0" borderId="29" xfId="13" applyFont="1" applyBorder="1"/>
    <xf numFmtId="0" fontId="22" fillId="0" borderId="29" xfId="13" quotePrefix="1" applyFont="1" applyBorder="1" applyAlignment="1">
      <alignment horizontal="center"/>
    </xf>
    <xf numFmtId="43" fontId="12" fillId="0" borderId="4" xfId="13" applyNumberFormat="1" applyFont="1" applyBorder="1" applyAlignment="1">
      <alignment horizontal="right"/>
    </xf>
    <xf numFmtId="0" fontId="7" fillId="0" borderId="0" xfId="13" applyFont="1"/>
    <xf numFmtId="43" fontId="12" fillId="0" borderId="4" xfId="7" applyFont="1" applyBorder="1" applyAlignment="1">
      <alignment horizontal="right"/>
    </xf>
    <xf numFmtId="0" fontId="22" fillId="0" borderId="7" xfId="13" applyFont="1" applyBorder="1"/>
    <xf numFmtId="0" fontId="22" fillId="0" borderId="9" xfId="13" applyFont="1" applyBorder="1"/>
    <xf numFmtId="0" fontId="22" fillId="0" borderId="19" xfId="13" applyFont="1" applyBorder="1"/>
    <xf numFmtId="0" fontId="22" fillId="0" borderId="19" xfId="13" applyFont="1" applyBorder="1" applyAlignment="1">
      <alignment horizontal="center"/>
    </xf>
    <xf numFmtId="49" fontId="13" fillId="0" borderId="3" xfId="13" applyNumberFormat="1" applyFont="1" applyBorder="1" applyAlignment="1">
      <alignment horizontal="center"/>
    </xf>
    <xf numFmtId="43" fontId="12" fillId="0" borderId="3" xfId="13" applyNumberFormat="1" applyFont="1" applyBorder="1" applyAlignment="1">
      <alignment horizontal="right"/>
    </xf>
    <xf numFmtId="0" fontId="22" fillId="0" borderId="0" xfId="13" applyFont="1"/>
    <xf numFmtId="0" fontId="11" fillId="0" borderId="0" xfId="13" applyFont="1" applyAlignment="1">
      <alignment horizontal="center"/>
    </xf>
    <xf numFmtId="43" fontId="11" fillId="0" borderId="0" xfId="7" applyFont="1" applyBorder="1"/>
    <xf numFmtId="43" fontId="12" fillId="0" borderId="0" xfId="7" applyFont="1" applyBorder="1" applyAlignment="1">
      <alignment horizontal="center"/>
    </xf>
    <xf numFmtId="0" fontId="12" fillId="0" borderId="0" xfId="13" applyFont="1" applyAlignment="1">
      <alignment horizontal="center"/>
    </xf>
    <xf numFmtId="43" fontId="12" fillId="0" borderId="0" xfId="7" applyFont="1" applyBorder="1" applyAlignment="1"/>
    <xf numFmtId="0" fontId="11" fillId="0" borderId="0" xfId="13" applyFont="1" applyAlignment="1">
      <alignment horizontal="left"/>
    </xf>
    <xf numFmtId="43" fontId="11" fillId="0" borderId="0" xfId="7" applyFont="1" applyBorder="1" applyAlignment="1"/>
    <xf numFmtId="43" fontId="11" fillId="0" borderId="0" xfId="7" applyFont="1" applyBorder="1" applyAlignment="1">
      <alignment horizontal="center"/>
    </xf>
    <xf numFmtId="43" fontId="11" fillId="0" borderId="37" xfId="7" applyFont="1" applyBorder="1"/>
    <xf numFmtId="4" fontId="11" fillId="0" borderId="4" xfId="7" applyNumberFormat="1" applyFont="1" applyBorder="1"/>
    <xf numFmtId="43" fontId="11" fillId="0" borderId="4" xfId="7" applyFont="1" applyBorder="1"/>
    <xf numFmtId="0" fontId="20" fillId="0" borderId="0" xfId="13" applyFont="1"/>
    <xf numFmtId="43" fontId="4" fillId="0" borderId="0" xfId="13" applyNumberFormat="1" applyFont="1"/>
    <xf numFmtId="0" fontId="8" fillId="0" borderId="0" xfId="13" applyFont="1"/>
    <xf numFmtId="43" fontId="8" fillId="0" borderId="0" xfId="13" applyNumberFormat="1" applyFont="1"/>
    <xf numFmtId="0" fontId="11" fillId="0" borderId="4" xfId="0" applyFont="1" applyBorder="1" applyAlignment="1">
      <alignment horizontal="center" vertical="center"/>
    </xf>
    <xf numFmtId="43" fontId="11" fillId="0" borderId="12" xfId="0" applyNumberFormat="1" applyFont="1" applyBorder="1" applyAlignment="1">
      <alignment vertical="center"/>
    </xf>
    <xf numFmtId="43" fontId="11" fillId="0" borderId="4" xfId="1" applyFont="1" applyBorder="1" applyAlignment="1">
      <alignment vertical="center"/>
    </xf>
    <xf numFmtId="0" fontId="7" fillId="2" borderId="0" xfId="13" applyFont="1" applyFill="1"/>
    <xf numFmtId="0" fontId="22" fillId="0" borderId="0" xfId="13" applyFont="1" applyAlignment="1">
      <alignment horizontal="center"/>
    </xf>
    <xf numFmtId="0" fontId="11" fillId="0" borderId="0" xfId="6" applyFont="1"/>
    <xf numFmtId="0" fontId="12" fillId="0" borderId="0" xfId="6" applyFont="1"/>
    <xf numFmtId="43" fontId="11" fillId="0" borderId="4" xfId="6" applyNumberFormat="1" applyFont="1" applyBorder="1"/>
    <xf numFmtId="0" fontId="12" fillId="0" borderId="0" xfId="6" applyFont="1" applyAlignment="1">
      <alignment horizontal="center"/>
    </xf>
    <xf numFmtId="0" fontId="11" fillId="0" borderId="12" xfId="6" applyFont="1" applyBorder="1"/>
    <xf numFmtId="43" fontId="12" fillId="0" borderId="4" xfId="6" applyNumberFormat="1" applyFont="1" applyBorder="1"/>
    <xf numFmtId="43" fontId="11" fillId="0" borderId="0" xfId="6" applyNumberFormat="1" applyFont="1"/>
    <xf numFmtId="0" fontId="18" fillId="0" borderId="0" xfId="0" applyFont="1"/>
    <xf numFmtId="0" fontId="18" fillId="0" borderId="0" xfId="0" applyFont="1" applyAlignment="1">
      <alignment horizontal="center"/>
    </xf>
    <xf numFmtId="0" fontId="17" fillId="0" borderId="0" xfId="0" applyFont="1"/>
    <xf numFmtId="40" fontId="18" fillId="0" borderId="0" xfId="0" applyNumberFormat="1" applyFont="1"/>
    <xf numFmtId="0" fontId="18" fillId="0" borderId="0" xfId="0" quotePrefix="1" applyFont="1"/>
    <xf numFmtId="0" fontId="4" fillId="0" borderId="0" xfId="6"/>
    <xf numFmtId="0" fontId="5" fillId="0" borderId="0" xfId="6" applyFont="1"/>
    <xf numFmtId="0" fontId="7" fillId="0" borderId="0" xfId="6" applyFont="1"/>
    <xf numFmtId="43" fontId="11" fillId="0" borderId="1" xfId="7" applyFont="1" applyBorder="1"/>
    <xf numFmtId="0" fontId="22" fillId="0" borderId="0" xfId="6" applyFont="1"/>
    <xf numFmtId="0" fontId="4" fillId="0" borderId="0" xfId="6" applyAlignment="1">
      <alignment horizontal="center"/>
    </xf>
    <xf numFmtId="0" fontId="23" fillId="0" borderId="0" xfId="16" applyFont="1"/>
    <xf numFmtId="0" fontId="11" fillId="0" borderId="0" xfId="16" applyFont="1"/>
    <xf numFmtId="0" fontId="12" fillId="0" borderId="0" xfId="16" applyFont="1"/>
    <xf numFmtId="0" fontId="11" fillId="0" borderId="0" xfId="16" applyFont="1" applyAlignment="1">
      <alignment horizontal="left"/>
    </xf>
    <xf numFmtId="0" fontId="11" fillId="0" borderId="0" xfId="16" applyFont="1" applyAlignment="1">
      <alignment horizontal="center"/>
    </xf>
    <xf numFmtId="0" fontId="4" fillId="0" borderId="0" xfId="16"/>
    <xf numFmtId="0" fontId="11" fillId="0" borderId="0" xfId="16" quotePrefix="1" applyFont="1" applyAlignment="1">
      <alignment horizontal="center"/>
    </xf>
    <xf numFmtId="0" fontId="5" fillId="0" borderId="0" xfId="16" applyFont="1"/>
    <xf numFmtId="0" fontId="22" fillId="0" borderId="0" xfId="16" applyFont="1"/>
    <xf numFmtId="0" fontId="12" fillId="0" borderId="0" xfId="16" applyFont="1" applyAlignment="1">
      <alignment horizontal="right"/>
    </xf>
    <xf numFmtId="43" fontId="19" fillId="0" borderId="0" xfId="16" quotePrefix="1" applyNumberFormat="1" applyFont="1" applyAlignment="1">
      <alignment horizontal="center"/>
    </xf>
    <xf numFmtId="0" fontId="20" fillId="0" borderId="0" xfId="16" applyFont="1"/>
    <xf numFmtId="43" fontId="15" fillId="0" borderId="0" xfId="16" quotePrefix="1" applyNumberFormat="1" applyFont="1" applyAlignment="1">
      <alignment horizontal="right"/>
    </xf>
    <xf numFmtId="0" fontId="17" fillId="0" borderId="0" xfId="6" quotePrefix="1" applyFont="1"/>
    <xf numFmtId="0" fontId="12" fillId="0" borderId="20" xfId="6" applyFont="1" applyBorder="1" applyAlignment="1">
      <alignment horizontal="center" vertical="center"/>
    </xf>
    <xf numFmtId="0" fontId="12" fillId="0" borderId="1" xfId="6" applyFont="1" applyBorder="1" applyAlignment="1">
      <alignment horizontal="center" vertical="center"/>
    </xf>
    <xf numFmtId="0" fontId="12" fillId="0" borderId="1" xfId="6" applyFont="1" applyBorder="1" applyAlignment="1">
      <alignment horizontal="center"/>
    </xf>
    <xf numFmtId="0" fontId="12" fillId="0" borderId="9" xfId="6" applyFont="1" applyBorder="1" applyAlignment="1">
      <alignment horizontal="center" vertical="center"/>
    </xf>
    <xf numFmtId="0" fontId="12" fillId="0" borderId="3" xfId="6" applyFont="1" applyBorder="1" applyAlignment="1">
      <alignment horizontal="center" vertical="center"/>
    </xf>
    <xf numFmtId="0" fontId="12" fillId="0" borderId="3" xfId="6" applyFont="1" applyBorder="1" applyAlignment="1">
      <alignment horizontal="center"/>
    </xf>
    <xf numFmtId="0" fontId="11" fillId="0" borderId="14" xfId="6" applyFont="1" applyBorder="1"/>
    <xf numFmtId="43" fontId="11" fillId="0" borderId="12" xfId="6" applyNumberFormat="1" applyFont="1" applyBorder="1"/>
    <xf numFmtId="43" fontId="11" fillId="0" borderId="12" xfId="1" applyFont="1" applyBorder="1"/>
    <xf numFmtId="0" fontId="12" fillId="0" borderId="14" xfId="6" applyFont="1" applyBorder="1"/>
    <xf numFmtId="0" fontId="12" fillId="0" borderId="12" xfId="6" applyFont="1" applyBorder="1"/>
    <xf numFmtId="0" fontId="12" fillId="0" borderId="29" xfId="6" applyFont="1" applyBorder="1"/>
    <xf numFmtId="0" fontId="26" fillId="0" borderId="0" xfId="6" applyFont="1" applyAlignment="1">
      <alignment vertical="justify" wrapText="1"/>
    </xf>
    <xf numFmtId="0" fontId="26" fillId="0" borderId="0" xfId="6" applyFont="1"/>
    <xf numFmtId="0" fontId="26" fillId="0" borderId="0" xfId="6" quotePrefix="1" applyFont="1" applyAlignment="1">
      <alignment horizontal="center"/>
    </xf>
    <xf numFmtId="0" fontId="11" fillId="0" borderId="0" xfId="6" quotePrefix="1" applyFont="1" applyAlignment="1">
      <alignment horizontal="center"/>
    </xf>
    <xf numFmtId="43" fontId="28" fillId="0" borderId="0" xfId="6" quotePrefix="1" applyNumberFormat="1" applyFont="1" applyAlignment="1">
      <alignment horizontal="center"/>
    </xf>
    <xf numFmtId="0" fontId="17" fillId="0" borderId="0" xfId="6" applyFont="1" applyAlignment="1">
      <alignment horizontal="left" vertical="top"/>
    </xf>
    <xf numFmtId="0" fontId="17" fillId="0" borderId="0" xfId="6" applyFont="1" applyAlignment="1">
      <alignment vertical="top"/>
    </xf>
    <xf numFmtId="0" fontId="17" fillId="0" borderId="0" xfId="6" applyFont="1" applyAlignment="1">
      <alignment vertical="top" wrapText="1"/>
    </xf>
    <xf numFmtId="0" fontId="23" fillId="0" borderId="0" xfId="0" applyFont="1" applyAlignment="1">
      <alignment horizontal="center"/>
    </xf>
    <xf numFmtId="0" fontId="5" fillId="0" borderId="12" xfId="16" applyFont="1" applyBorder="1"/>
    <xf numFmtId="0" fontId="5" fillId="0" borderId="29" xfId="16" applyFont="1" applyBorder="1"/>
    <xf numFmtId="0" fontId="5" fillId="0" borderId="29" xfId="16" quotePrefix="1" applyFont="1" applyBorder="1" applyAlignment="1">
      <alignment horizontal="center"/>
    </xf>
    <xf numFmtId="0" fontId="11" fillId="0" borderId="4" xfId="16" applyFont="1" applyBorder="1" applyAlignment="1">
      <alignment horizontal="center"/>
    </xf>
    <xf numFmtId="0" fontId="10" fillId="0" borderId="12" xfId="0" applyFont="1" applyBorder="1" applyAlignment="1">
      <alignment horizontal="left" vertical="center" wrapText="1"/>
    </xf>
    <xf numFmtId="0" fontId="10" fillId="0" borderId="29" xfId="0" applyFont="1" applyBorder="1" applyAlignment="1">
      <alignment horizontal="left" vertical="center" wrapText="1"/>
    </xf>
    <xf numFmtId="0" fontId="5" fillId="0" borderId="14" xfId="16" applyFont="1" applyBorder="1"/>
    <xf numFmtId="49" fontId="13" fillId="0" borderId="4" xfId="16" applyNumberFormat="1" applyFont="1" applyBorder="1" applyAlignment="1">
      <alignment horizontal="center"/>
    </xf>
    <xf numFmtId="43" fontId="11" fillId="0" borderId="4" xfId="16" applyNumberFormat="1" applyFont="1" applyBorder="1" applyAlignment="1">
      <alignment horizontal="right"/>
    </xf>
    <xf numFmtId="43" fontId="4" fillId="0" borderId="0" xfId="16" applyNumberFormat="1"/>
    <xf numFmtId="49" fontId="23" fillId="0" borderId="4" xfId="16" applyNumberFormat="1" applyFont="1" applyBorder="1" applyAlignment="1">
      <alignment horizontal="center"/>
    </xf>
    <xf numFmtId="0" fontId="5" fillId="0" borderId="4" xfId="16" quotePrefix="1" applyFont="1" applyBorder="1" applyAlignment="1">
      <alignment horizontal="center"/>
    </xf>
    <xf numFmtId="0" fontId="22" fillId="0" borderId="14" xfId="16" applyFont="1" applyBorder="1"/>
    <xf numFmtId="0" fontId="22" fillId="0" borderId="12" xfId="16" applyFont="1" applyBorder="1"/>
    <xf numFmtId="0" fontId="22" fillId="0" borderId="29" xfId="16" applyFont="1" applyBorder="1"/>
    <xf numFmtId="0" fontId="22" fillId="0" borderId="29" xfId="16" quotePrefix="1" applyFont="1" applyBorder="1" applyAlignment="1">
      <alignment horizontal="center"/>
    </xf>
    <xf numFmtId="43" fontId="12" fillId="0" borderId="4" xfId="16" applyNumberFormat="1" applyFont="1" applyBorder="1" applyAlignment="1">
      <alignment horizontal="right"/>
    </xf>
    <xf numFmtId="0" fontId="7" fillId="0" borderId="0" xfId="16" applyFont="1"/>
    <xf numFmtId="43" fontId="7" fillId="0" borderId="0" xfId="16" applyNumberFormat="1" applyFont="1"/>
    <xf numFmtId="0" fontId="22" fillId="0" borderId="7" xfId="16" applyFont="1" applyBorder="1"/>
    <xf numFmtId="0" fontId="5" fillId="0" borderId="9" xfId="16" applyFont="1" applyBorder="1"/>
    <xf numFmtId="0" fontId="22" fillId="0" borderId="9" xfId="16" applyFont="1" applyBorder="1"/>
    <xf numFmtId="0" fontId="22" fillId="0" borderId="19" xfId="16" applyFont="1" applyBorder="1"/>
    <xf numFmtId="0" fontId="22" fillId="0" borderId="19" xfId="16" quotePrefix="1" applyFont="1" applyBorder="1" applyAlignment="1">
      <alignment horizontal="center"/>
    </xf>
    <xf numFmtId="49" fontId="13" fillId="0" borderId="3" xfId="16" applyNumberFormat="1" applyFont="1" applyBorder="1" applyAlignment="1">
      <alignment horizontal="center"/>
    </xf>
    <xf numFmtId="43" fontId="12" fillId="0" borderId="3" xfId="16" applyNumberFormat="1" applyFont="1" applyBorder="1" applyAlignment="1">
      <alignment horizontal="right"/>
    </xf>
    <xf numFmtId="0" fontId="22" fillId="0" borderId="14" xfId="16" applyFont="1" applyBorder="1" applyAlignment="1">
      <alignment vertical="center"/>
    </xf>
    <xf numFmtId="0" fontId="22" fillId="0" borderId="12" xfId="16" applyFont="1" applyBorder="1" applyAlignment="1">
      <alignment vertical="center"/>
    </xf>
    <xf numFmtId="0" fontId="22" fillId="0" borderId="29" xfId="16" quotePrefix="1" applyFont="1" applyBorder="1" applyAlignment="1">
      <alignment horizontal="center" vertical="center"/>
    </xf>
    <xf numFmtId="43" fontId="11" fillId="2" borderId="4" xfId="0" applyNumberFormat="1" applyFont="1" applyFill="1" applyBorder="1" applyAlignment="1">
      <alignment vertical="center"/>
    </xf>
    <xf numFmtId="43" fontId="11" fillId="2" borderId="4" xfId="1" applyFont="1" applyFill="1" applyBorder="1" applyAlignment="1">
      <alignment vertical="center"/>
    </xf>
    <xf numFmtId="43" fontId="7" fillId="0" borderId="0" xfId="16" applyNumberFormat="1" applyFont="1" applyAlignment="1">
      <alignment vertical="center"/>
    </xf>
    <xf numFmtId="0" fontId="7" fillId="0" borderId="0" xfId="16" applyFont="1" applyAlignment="1">
      <alignment vertical="center"/>
    </xf>
    <xf numFmtId="0" fontId="22" fillId="0" borderId="14" xfId="16" applyFont="1" applyBorder="1" applyAlignment="1">
      <alignment vertical="center" wrapText="1"/>
    </xf>
    <xf numFmtId="0" fontId="22" fillId="0" borderId="12" xfId="16" applyFont="1" applyBorder="1" applyAlignment="1">
      <alignment vertical="center" wrapText="1"/>
    </xf>
    <xf numFmtId="0" fontId="22" fillId="0" borderId="29" xfId="16" quotePrefix="1" applyFont="1" applyBorder="1" applyAlignment="1">
      <alignment horizontal="center" vertical="center" wrapText="1"/>
    </xf>
    <xf numFmtId="43" fontId="7" fillId="0" borderId="0" xfId="16" applyNumberFormat="1" applyFont="1" applyAlignment="1">
      <alignment vertical="center" wrapText="1"/>
    </xf>
    <xf numFmtId="0" fontId="7" fillId="0" borderId="0" xfId="16" applyFont="1" applyAlignment="1">
      <alignment vertical="center" wrapText="1"/>
    </xf>
    <xf numFmtId="43" fontId="12" fillId="0" borderId="4" xfId="0" applyNumberFormat="1" applyFont="1" applyBorder="1" applyAlignment="1">
      <alignment vertical="center"/>
    </xf>
    <xf numFmtId="0" fontId="22" fillId="0" borderId="19" xfId="16" applyFont="1" applyBorder="1" applyAlignment="1">
      <alignment horizontal="center"/>
    </xf>
    <xf numFmtId="49" fontId="11" fillId="0" borderId="4" xfId="16" applyNumberFormat="1" applyFont="1" applyBorder="1" applyAlignment="1">
      <alignment horizontal="center"/>
    </xf>
    <xf numFmtId="4" fontId="11" fillId="0" borderId="4" xfId="16" applyNumberFormat="1" applyFont="1" applyBorder="1" applyAlignment="1">
      <alignment horizontal="center"/>
    </xf>
    <xf numFmtId="49" fontId="12" fillId="0" borderId="4" xfId="16" applyNumberFormat="1" applyFont="1" applyBorder="1" applyAlignment="1">
      <alignment horizontal="center"/>
    </xf>
    <xf numFmtId="49" fontId="12" fillId="0" borderId="3" xfId="16" applyNumberFormat="1" applyFont="1" applyBorder="1" applyAlignment="1">
      <alignment horizontal="center"/>
    </xf>
    <xf numFmtId="43" fontId="11" fillId="0" borderId="4" xfId="16" applyNumberFormat="1" applyFont="1" applyBorder="1" applyAlignment="1">
      <alignment horizontal="center"/>
    </xf>
    <xf numFmtId="43" fontId="12" fillId="0" borderId="3" xfId="7" applyFont="1" applyBorder="1" applyAlignment="1">
      <alignment horizontal="right"/>
    </xf>
    <xf numFmtId="49" fontId="13" fillId="0" borderId="0" xfId="13" applyNumberFormat="1" applyFont="1" applyAlignment="1">
      <alignment horizontal="center"/>
    </xf>
    <xf numFmtId="43" fontId="12" fillId="0" borderId="0" xfId="13" applyNumberFormat="1" applyFont="1" applyAlignment="1">
      <alignment horizontal="right"/>
    </xf>
    <xf numFmtId="0" fontId="22" fillId="0" borderId="4" xfId="16" applyFont="1" applyBorder="1"/>
    <xf numFmtId="0" fontId="22" fillId="0" borderId="4" xfId="16" quotePrefix="1" applyFont="1" applyBorder="1" applyAlignment="1">
      <alignment horizontal="center"/>
    </xf>
    <xf numFmtId="43" fontId="11" fillId="0" borderId="14" xfId="6" applyNumberFormat="1" applyFont="1" applyBorder="1"/>
    <xf numFmtId="43" fontId="12" fillId="0" borderId="7" xfId="16" applyNumberFormat="1" applyFont="1" applyBorder="1" applyAlignment="1">
      <alignment horizontal="right"/>
    </xf>
    <xf numFmtId="0" fontId="22" fillId="0" borderId="39" xfId="13" applyFont="1" applyBorder="1"/>
    <xf numFmtId="0" fontId="5" fillId="0" borderId="18" xfId="13" applyFont="1" applyBorder="1"/>
    <xf numFmtId="0" fontId="22" fillId="0" borderId="11" xfId="13" applyFont="1" applyBorder="1"/>
    <xf numFmtId="0" fontId="5" fillId="0" borderId="11" xfId="13" applyFont="1" applyBorder="1"/>
    <xf numFmtId="0" fontId="22" fillId="0" borderId="40" xfId="13" applyFont="1" applyBorder="1"/>
    <xf numFmtId="0" fontId="12" fillId="0" borderId="39" xfId="13" applyFont="1" applyBorder="1" applyAlignment="1">
      <alignment horizontal="center"/>
    </xf>
    <xf numFmtId="43" fontId="12" fillId="0" borderId="39" xfId="7" applyFont="1" applyBorder="1"/>
    <xf numFmtId="0" fontId="22" fillId="0" borderId="0" xfId="16" applyFont="1" applyAlignment="1">
      <alignment vertical="center" wrapText="1"/>
    </xf>
    <xf numFmtId="0" fontId="10" fillId="0" borderId="0" xfId="0" applyFont="1" applyAlignment="1">
      <alignment horizontal="left" vertical="center" wrapText="1"/>
    </xf>
    <xf numFmtId="0" fontId="22" fillId="0" borderId="0" xfId="16" quotePrefix="1" applyFont="1" applyAlignment="1">
      <alignment horizontal="center" vertical="center" wrapText="1"/>
    </xf>
    <xf numFmtId="0" fontId="11" fillId="0" borderId="0" xfId="0" applyFont="1" applyAlignment="1">
      <alignment horizontal="center" vertical="center"/>
    </xf>
    <xf numFmtId="43" fontId="12" fillId="0" borderId="0" xfId="0" applyNumberFormat="1" applyFont="1" applyAlignment="1">
      <alignment vertical="center"/>
    </xf>
    <xf numFmtId="0" fontId="29" fillId="0" borderId="12" xfId="16" applyFont="1" applyBorder="1"/>
    <xf numFmtId="0" fontId="5" fillId="0" borderId="15" xfId="16" applyFont="1" applyBorder="1"/>
    <xf numFmtId="0" fontId="5" fillId="0" borderId="13" xfId="16" applyFont="1" applyBorder="1"/>
    <xf numFmtId="0" fontId="5" fillId="0" borderId="22" xfId="16" applyFont="1" applyBorder="1"/>
    <xf numFmtId="0" fontId="5" fillId="0" borderId="22" xfId="16" applyFont="1" applyBorder="1" applyAlignment="1">
      <alignment horizontal="center"/>
    </xf>
    <xf numFmtId="0" fontId="22" fillId="0" borderId="23" xfId="16" applyFont="1" applyBorder="1" applyAlignment="1">
      <alignment horizontal="center"/>
    </xf>
    <xf numFmtId="0" fontId="22" fillId="0" borderId="24" xfId="16" applyFont="1" applyBorder="1" applyAlignment="1">
      <alignment horizontal="center"/>
    </xf>
    <xf numFmtId="0" fontId="22" fillId="0" borderId="0" xfId="16" applyFont="1" applyAlignment="1">
      <alignment horizontal="center"/>
    </xf>
    <xf numFmtId="0" fontId="22" fillId="0" borderId="6" xfId="16" applyFont="1" applyBorder="1" applyAlignment="1">
      <alignment horizontal="center"/>
    </xf>
    <xf numFmtId="0" fontId="22" fillId="0" borderId="2" xfId="16" applyFont="1" applyBorder="1" applyAlignment="1">
      <alignment horizontal="center"/>
    </xf>
    <xf numFmtId="0" fontId="22" fillId="0" borderId="25" xfId="16" applyFont="1" applyBorder="1" applyAlignment="1">
      <alignment horizontal="center"/>
    </xf>
    <xf numFmtId="0" fontId="5" fillId="0" borderId="6" xfId="16" applyFont="1" applyBorder="1" applyAlignment="1">
      <alignment horizontal="center"/>
    </xf>
    <xf numFmtId="0" fontId="6" fillId="0" borderId="2" xfId="16" applyFont="1" applyBorder="1" applyAlignment="1">
      <alignment horizontal="center"/>
    </xf>
    <xf numFmtId="0" fontId="5" fillId="0" borderId="17" xfId="16" applyFont="1" applyBorder="1"/>
    <xf numFmtId="0" fontId="5" fillId="0" borderId="6" xfId="16" applyFont="1" applyBorder="1"/>
    <xf numFmtId="0" fontId="5" fillId="0" borderId="26" xfId="16" applyFont="1" applyBorder="1" applyAlignment="1">
      <alignment horizontal="center"/>
    </xf>
    <xf numFmtId="0" fontId="5" fillId="0" borderId="27" xfId="16" applyFont="1" applyBorder="1" applyAlignment="1">
      <alignment horizontal="center"/>
    </xf>
    <xf numFmtId="0" fontId="5" fillId="0" borderId="28" xfId="16" applyFont="1" applyBorder="1" applyAlignment="1">
      <alignment horizontal="center"/>
    </xf>
    <xf numFmtId="0" fontId="5" fillId="0" borderId="31" xfId="16" applyFont="1" applyBorder="1"/>
    <xf numFmtId="0" fontId="5" fillId="0" borderId="32" xfId="16" applyFont="1" applyBorder="1"/>
    <xf numFmtId="0" fontId="22" fillId="0" borderId="32" xfId="16" applyFont="1" applyBorder="1"/>
    <xf numFmtId="0" fontId="5" fillId="0" borderId="33" xfId="16" applyFont="1" applyBorder="1"/>
    <xf numFmtId="0" fontId="5" fillId="0" borderId="33" xfId="16" applyFont="1" applyBorder="1" applyAlignment="1">
      <alignment horizontal="center"/>
    </xf>
    <xf numFmtId="49" fontId="23" fillId="0" borderId="37" xfId="16" applyNumberFormat="1" applyFont="1" applyBorder="1" applyAlignment="1">
      <alignment horizontal="center"/>
    </xf>
    <xf numFmtId="43" fontId="23" fillId="0" borderId="37" xfId="16" applyNumberFormat="1" applyFont="1" applyBorder="1" applyAlignment="1">
      <alignment horizontal="center"/>
    </xf>
    <xf numFmtId="43" fontId="23" fillId="0" borderId="4" xfId="16" applyNumberFormat="1" applyFont="1" applyBorder="1" applyAlignment="1">
      <alignment horizontal="center"/>
    </xf>
    <xf numFmtId="43" fontId="4" fillId="2" borderId="4" xfId="7" applyFont="1" applyFill="1" applyBorder="1"/>
    <xf numFmtId="0" fontId="22" fillId="0" borderId="41" xfId="16" applyFont="1" applyBorder="1"/>
    <xf numFmtId="0" fontId="22" fillId="0" borderId="10" xfId="16" applyFont="1" applyBorder="1"/>
    <xf numFmtId="0" fontId="22" fillId="0" borderId="42" xfId="16" applyFont="1" applyBorder="1"/>
    <xf numFmtId="0" fontId="22" fillId="0" borderId="42" xfId="16" quotePrefix="1" applyFont="1" applyBorder="1" applyAlignment="1">
      <alignment horizontal="center"/>
    </xf>
    <xf numFmtId="49" fontId="13" fillId="0" borderId="43" xfId="16" applyNumberFormat="1" applyFont="1" applyBorder="1" applyAlignment="1">
      <alignment horizontal="center"/>
    </xf>
    <xf numFmtId="43" fontId="12" fillId="0" borderId="43" xfId="16" applyNumberFormat="1" applyFont="1" applyBorder="1" applyAlignment="1">
      <alignment horizontal="right"/>
    </xf>
    <xf numFmtId="43" fontId="11" fillId="0" borderId="12" xfId="1" applyFont="1" applyBorder="1" applyAlignment="1">
      <alignment vertical="center"/>
    </xf>
    <xf numFmtId="49" fontId="11" fillId="0" borderId="37" xfId="16" applyNumberFormat="1" applyFont="1" applyBorder="1" applyAlignment="1">
      <alignment horizontal="center"/>
    </xf>
    <xf numFmtId="0" fontId="11" fillId="0" borderId="37" xfId="16" applyFont="1" applyBorder="1" applyAlignment="1">
      <alignment horizontal="center"/>
    </xf>
    <xf numFmtId="49" fontId="12" fillId="0" borderId="0" xfId="16" applyNumberFormat="1" applyFont="1" applyAlignment="1">
      <alignment horizontal="center"/>
    </xf>
    <xf numFmtId="43" fontId="12" fillId="0" borderId="0" xfId="16" applyNumberFormat="1" applyFont="1" applyAlignment="1">
      <alignment horizontal="right"/>
    </xf>
    <xf numFmtId="43" fontId="11" fillId="0" borderId="37" xfId="16" applyNumberFormat="1" applyFont="1" applyBorder="1" applyAlignment="1">
      <alignment horizontal="center"/>
    </xf>
    <xf numFmtId="0" fontId="22" fillId="2" borderId="14" xfId="16" applyFont="1" applyFill="1" applyBorder="1"/>
    <xf numFmtId="0" fontId="22" fillId="2" borderId="12" xfId="16" applyFont="1" applyFill="1" applyBorder="1"/>
    <xf numFmtId="0" fontId="22" fillId="2" borderId="29" xfId="16" applyFont="1" applyFill="1" applyBorder="1"/>
    <xf numFmtId="0" fontId="22" fillId="2" borderId="29" xfId="16" quotePrefix="1" applyFont="1" applyFill="1" applyBorder="1" applyAlignment="1">
      <alignment horizontal="center"/>
    </xf>
    <xf numFmtId="49" fontId="12" fillId="2" borderId="4" xfId="16" applyNumberFormat="1" applyFont="1" applyFill="1" applyBorder="1" applyAlignment="1">
      <alignment horizontal="center"/>
    </xf>
    <xf numFmtId="43" fontId="12" fillId="2" borderId="4" xfId="16" applyNumberFormat="1" applyFont="1" applyFill="1" applyBorder="1" applyAlignment="1">
      <alignment horizontal="right"/>
    </xf>
    <xf numFmtId="43" fontId="12" fillId="0" borderId="0" xfId="7" applyFont="1" applyBorder="1"/>
    <xf numFmtId="0" fontId="22" fillId="0" borderId="0" xfId="16" applyFont="1" applyAlignment="1">
      <alignment horizontal="left"/>
    </xf>
    <xf numFmtId="0" fontId="12" fillId="0" borderId="0" xfId="16" applyFont="1" applyAlignment="1">
      <alignment horizontal="left"/>
    </xf>
    <xf numFmtId="0" fontId="23" fillId="0" borderId="0" xfId="16" applyFont="1" applyAlignment="1">
      <alignment horizontal="left"/>
    </xf>
    <xf numFmtId="0" fontId="12" fillId="0" borderId="0" xfId="16" quotePrefix="1" applyFont="1" applyAlignment="1">
      <alignment horizontal="left"/>
    </xf>
    <xf numFmtId="0" fontId="11" fillId="0" borderId="0" xfId="16" quotePrefix="1" applyFont="1"/>
    <xf numFmtId="43" fontId="12" fillId="0" borderId="0" xfId="16" quotePrefix="1" applyNumberFormat="1" applyFont="1"/>
    <xf numFmtId="0" fontId="13" fillId="0" borderId="0" xfId="16" applyFont="1"/>
    <xf numFmtId="0" fontId="30" fillId="0" borderId="0" xfId="0" applyFont="1"/>
    <xf numFmtId="0" fontId="23" fillId="0" borderId="0" xfId="0" quotePrefix="1" applyFont="1"/>
    <xf numFmtId="43" fontId="12" fillId="0" borderId="5" xfId="16" quotePrefix="1" applyNumberFormat="1" applyFont="1" applyBorder="1"/>
    <xf numFmtId="0" fontId="11" fillId="0" borderId="5" xfId="16" applyFont="1" applyBorder="1"/>
    <xf numFmtId="164" fontId="23" fillId="0" borderId="0" xfId="0" applyNumberFormat="1" applyFont="1"/>
    <xf numFmtId="0" fontId="4" fillId="2" borderId="0" xfId="13" applyFont="1" applyFill="1"/>
    <xf numFmtId="0" fontId="5" fillId="2" borderId="14" xfId="16" applyFont="1" applyFill="1" applyBorder="1"/>
    <xf numFmtId="0" fontId="5" fillId="2" borderId="12" xfId="16" applyFont="1" applyFill="1" applyBorder="1"/>
    <xf numFmtId="0" fontId="5" fillId="2" borderId="29" xfId="16" applyFont="1" applyFill="1" applyBorder="1"/>
    <xf numFmtId="0" fontId="5" fillId="2" borderId="29" xfId="16" quotePrefix="1" applyFont="1" applyFill="1" applyBorder="1" applyAlignment="1">
      <alignment horizontal="center"/>
    </xf>
    <xf numFmtId="0" fontId="11" fillId="2" borderId="4" xfId="16" applyFont="1" applyFill="1" applyBorder="1" applyAlignment="1">
      <alignment horizontal="center"/>
    </xf>
    <xf numFmtId="43" fontId="11" fillId="2" borderId="4" xfId="16" applyNumberFormat="1" applyFont="1" applyFill="1" applyBorder="1" applyAlignment="1">
      <alignment horizontal="right"/>
    </xf>
    <xf numFmtId="43" fontId="11" fillId="2" borderId="4" xfId="7" applyFont="1" applyFill="1" applyBorder="1" applyAlignment="1">
      <alignment horizontal="right"/>
    </xf>
    <xf numFmtId="0" fontId="7" fillId="0" borderId="0" xfId="6" applyFont="1" applyAlignment="1">
      <alignment horizontal="right"/>
    </xf>
    <xf numFmtId="0" fontId="7" fillId="0" borderId="0" xfId="6" applyFont="1" applyAlignment="1">
      <alignment horizontal="center"/>
    </xf>
    <xf numFmtId="0" fontId="5" fillId="0" borderId="15" xfId="6" applyFont="1" applyBorder="1"/>
    <xf numFmtId="0" fontId="5" fillId="0" borderId="13" xfId="6" applyFont="1" applyBorder="1"/>
    <xf numFmtId="0" fontId="22" fillId="0" borderId="23" xfId="6" applyFont="1" applyBorder="1" applyAlignment="1">
      <alignment horizontal="center"/>
    </xf>
    <xf numFmtId="0" fontId="22" fillId="0" borderId="16" xfId="6" applyFont="1" applyBorder="1"/>
    <xf numFmtId="0" fontId="22" fillId="0" borderId="2" xfId="6" applyFont="1" applyBorder="1" applyAlignment="1">
      <alignment horizontal="center"/>
    </xf>
    <xf numFmtId="0" fontId="22" fillId="0" borderId="25" xfId="6" applyFont="1" applyBorder="1" applyAlignment="1">
      <alignment horizontal="center"/>
    </xf>
    <xf numFmtId="0" fontId="5" fillId="0" borderId="17" xfId="6" applyFont="1" applyBorder="1"/>
    <xf numFmtId="0" fontId="22" fillId="0" borderId="2" xfId="6" quotePrefix="1" applyFont="1" applyBorder="1" applyAlignment="1">
      <alignment horizontal="center"/>
    </xf>
    <xf numFmtId="0" fontId="22" fillId="0" borderId="25" xfId="6" quotePrefix="1" applyFont="1" applyBorder="1" applyAlignment="1">
      <alignment horizontal="center"/>
    </xf>
    <xf numFmtId="0" fontId="5" fillId="0" borderId="27" xfId="6" applyFont="1" applyBorder="1" applyAlignment="1">
      <alignment horizontal="center"/>
    </xf>
    <xf numFmtId="0" fontId="5" fillId="0" borderId="28" xfId="6" applyFont="1" applyBorder="1" applyAlignment="1">
      <alignment horizontal="center"/>
    </xf>
    <xf numFmtId="0" fontId="22" fillId="0" borderId="31" xfId="6" applyFont="1" applyBorder="1"/>
    <xf numFmtId="0" fontId="22" fillId="0" borderId="32" xfId="6" applyFont="1" applyBorder="1"/>
    <xf numFmtId="0" fontId="11" fillId="0" borderId="37" xfId="6" applyFont="1" applyBorder="1" applyAlignment="1">
      <alignment horizontal="center"/>
    </xf>
    <xf numFmtId="43" fontId="11" fillId="0" borderId="37" xfId="6" applyNumberFormat="1" applyFont="1" applyBorder="1"/>
    <xf numFmtId="0" fontId="5" fillId="0" borderId="14" xfId="6" applyFont="1" applyBorder="1"/>
    <xf numFmtId="0" fontId="5" fillId="0" borderId="12" xfId="6" applyFont="1" applyBorder="1"/>
    <xf numFmtId="0" fontId="5" fillId="0" borderId="4" xfId="6" applyFont="1" applyBorder="1" applyAlignment="1">
      <alignment horizontal="center"/>
    </xf>
    <xf numFmtId="0" fontId="11" fillId="0" borderId="4" xfId="6" applyFont="1" applyBorder="1" applyAlignment="1">
      <alignment horizontal="center"/>
    </xf>
    <xf numFmtId="43" fontId="11" fillId="0" borderId="3" xfId="6" applyNumberFormat="1" applyFont="1" applyBorder="1"/>
    <xf numFmtId="0" fontId="5" fillId="0" borderId="8" xfId="6" applyFont="1" applyBorder="1"/>
    <xf numFmtId="0" fontId="5" fillId="0" borderId="20" xfId="6" applyFont="1" applyBorder="1"/>
    <xf numFmtId="0" fontId="5" fillId="0" borderId="1" xfId="6" applyFont="1" applyBorder="1" applyAlignment="1">
      <alignment horizontal="center"/>
    </xf>
    <xf numFmtId="0" fontId="11" fillId="0" borderId="1" xfId="6" applyFont="1" applyBorder="1" applyAlignment="1">
      <alignment horizontal="center"/>
    </xf>
    <xf numFmtId="43" fontId="11" fillId="0" borderId="2" xfId="6" applyNumberFormat="1" applyFont="1" applyBorder="1"/>
    <xf numFmtId="0" fontId="22" fillId="0" borderId="36" xfId="6" applyFont="1" applyBorder="1"/>
    <xf numFmtId="0" fontId="22" fillId="0" borderId="38" xfId="6" applyFont="1" applyBorder="1"/>
    <xf numFmtId="0" fontId="22" fillId="0" borderId="34" xfId="6" applyFont="1" applyBorder="1" applyAlignment="1">
      <alignment horizontal="center"/>
    </xf>
    <xf numFmtId="0" fontId="12" fillId="0" borderId="34" xfId="6" applyFont="1" applyBorder="1" applyAlignment="1">
      <alignment horizontal="center"/>
    </xf>
    <xf numFmtId="0" fontId="22" fillId="0" borderId="7" xfId="6" applyFont="1" applyBorder="1"/>
    <xf numFmtId="0" fontId="22" fillId="0" borderId="9" xfId="6" applyFont="1" applyBorder="1"/>
    <xf numFmtId="0" fontId="22" fillId="0" borderId="3" xfId="6" applyFont="1" applyBorder="1" applyAlignment="1">
      <alignment horizontal="center"/>
    </xf>
    <xf numFmtId="0" fontId="11" fillId="0" borderId="3" xfId="6" applyFont="1" applyBorder="1" applyAlignment="1">
      <alignment horizontal="center"/>
    </xf>
    <xf numFmtId="0" fontId="22" fillId="0" borderId="14" xfId="6" applyFont="1" applyBorder="1"/>
    <xf numFmtId="0" fontId="22" fillId="0" borderId="12" xfId="6" applyFont="1" applyBorder="1"/>
    <xf numFmtId="0" fontId="22" fillId="0" borderId="30" xfId="6" applyFont="1" applyBorder="1"/>
    <xf numFmtId="43" fontId="12" fillId="0" borderId="34" xfId="6" applyNumberFormat="1" applyFont="1" applyBorder="1"/>
    <xf numFmtId="0" fontId="5" fillId="0" borderId="7" xfId="6" applyFont="1" applyBorder="1"/>
    <xf numFmtId="0" fontId="5" fillId="0" borderId="9" xfId="6" applyFont="1" applyBorder="1"/>
    <xf numFmtId="0" fontId="5" fillId="0" borderId="36" xfId="6" applyFont="1" applyBorder="1"/>
    <xf numFmtId="43" fontId="19" fillId="0" borderId="0" xfId="6" quotePrefix="1" applyNumberFormat="1" applyFont="1" applyAlignment="1">
      <alignment horizontal="center"/>
    </xf>
    <xf numFmtId="0" fontId="31" fillId="0" borderId="0" xfId="6" applyFont="1"/>
    <xf numFmtId="0" fontId="5" fillId="2" borderId="12" xfId="6" applyFont="1" applyFill="1" applyBorder="1"/>
    <xf numFmtId="0" fontId="11" fillId="2" borderId="4" xfId="6" applyFont="1" applyFill="1" applyBorder="1" applyAlignment="1">
      <alignment horizontal="center"/>
    </xf>
    <xf numFmtId="43" fontId="11" fillId="2" borderId="4" xfId="6" applyNumberFormat="1" applyFont="1" applyFill="1" applyBorder="1"/>
    <xf numFmtId="43" fontId="11" fillId="2" borderId="4" xfId="1" applyFont="1" applyFill="1" applyBorder="1" applyAlignment="1"/>
    <xf numFmtId="0" fontId="5" fillId="2" borderId="29" xfId="6" applyFont="1" applyFill="1" applyBorder="1"/>
    <xf numFmtId="0" fontId="5" fillId="2" borderId="14" xfId="6" applyFont="1" applyFill="1" applyBorder="1"/>
    <xf numFmtId="0" fontId="4" fillId="2" borderId="0" xfId="6" applyFill="1"/>
    <xf numFmtId="0" fontId="5" fillId="2" borderId="8" xfId="6" applyFont="1" applyFill="1" applyBorder="1"/>
    <xf numFmtId="0" fontId="5" fillId="2" borderId="20" xfId="6" applyFont="1" applyFill="1" applyBorder="1"/>
    <xf numFmtId="0" fontId="11" fillId="2" borderId="1" xfId="6" applyFont="1" applyFill="1" applyBorder="1" applyAlignment="1">
      <alignment horizontal="center"/>
    </xf>
    <xf numFmtId="43" fontId="11" fillId="2" borderId="1" xfId="6" applyNumberFormat="1" applyFont="1" applyFill="1" applyBorder="1"/>
    <xf numFmtId="0" fontId="22" fillId="2" borderId="38" xfId="6" applyFont="1" applyFill="1" applyBorder="1"/>
    <xf numFmtId="0" fontId="12" fillId="2" borderId="34" xfId="6" applyFont="1" applyFill="1" applyBorder="1" applyAlignment="1">
      <alignment horizontal="center"/>
    </xf>
    <xf numFmtId="43" fontId="12" fillId="2" borderId="34" xfId="6" applyNumberFormat="1" applyFont="1" applyFill="1" applyBorder="1"/>
    <xf numFmtId="0" fontId="22" fillId="2" borderId="9" xfId="6" applyFont="1" applyFill="1" applyBorder="1"/>
    <xf numFmtId="0" fontId="12" fillId="2" borderId="3" xfId="6" applyFont="1" applyFill="1" applyBorder="1" applyAlignment="1">
      <alignment horizontal="center"/>
    </xf>
    <xf numFmtId="43" fontId="12" fillId="2" borderId="3" xfId="6" applyNumberFormat="1" applyFont="1" applyFill="1" applyBorder="1"/>
    <xf numFmtId="43" fontId="11" fillId="2" borderId="5" xfId="6" applyNumberFormat="1" applyFont="1" applyFill="1" applyBorder="1"/>
    <xf numFmtId="0" fontId="5" fillId="0" borderId="5" xfId="6" applyFont="1" applyBorder="1"/>
    <xf numFmtId="0" fontId="11" fillId="0" borderId="2" xfId="6" applyFont="1" applyBorder="1" applyAlignment="1">
      <alignment horizontal="center"/>
    </xf>
    <xf numFmtId="0" fontId="5" fillId="0" borderId="38" xfId="6" applyFont="1" applyBorder="1"/>
    <xf numFmtId="0" fontId="11" fillId="0" borderId="34" xfId="6" applyFont="1" applyBorder="1" applyAlignment="1">
      <alignment horizontal="center"/>
    </xf>
    <xf numFmtId="43" fontId="4" fillId="0" borderId="0" xfId="1" applyFont="1" applyBorder="1"/>
    <xf numFmtId="0" fontId="20" fillId="0" borderId="0" xfId="6" applyFont="1"/>
    <xf numFmtId="43" fontId="23" fillId="0" borderId="4" xfId="6" applyNumberFormat="1" applyFont="1" applyBorder="1" applyAlignment="1">
      <alignment horizontal="right"/>
    </xf>
    <xf numFmtId="43" fontId="11" fillId="0" borderId="4" xfId="6" applyNumberFormat="1" applyFont="1" applyBorder="1" applyAlignment="1">
      <alignment horizontal="right"/>
    </xf>
    <xf numFmtId="43" fontId="11" fillId="0" borderId="2" xfId="6" applyNumberFormat="1" applyFont="1" applyBorder="1" applyAlignment="1">
      <alignment horizontal="right"/>
    </xf>
    <xf numFmtId="43" fontId="12" fillId="0" borderId="34" xfId="6" applyNumberFormat="1" applyFont="1" applyBorder="1" applyAlignment="1">
      <alignment horizontal="right"/>
    </xf>
    <xf numFmtId="43" fontId="11" fillId="0" borderId="3" xfId="6" applyNumberFormat="1" applyFont="1" applyBorder="1" applyAlignment="1">
      <alignment horizontal="right"/>
    </xf>
    <xf numFmtId="43" fontId="11" fillId="0" borderId="1" xfId="6" applyNumberFormat="1" applyFont="1" applyBorder="1" applyAlignment="1">
      <alignment horizontal="right"/>
    </xf>
    <xf numFmtId="43" fontId="12" fillId="0" borderId="35" xfId="6" applyNumberFormat="1" applyFont="1" applyBorder="1" applyAlignment="1">
      <alignment horizontal="right"/>
    </xf>
    <xf numFmtId="0" fontId="22" fillId="0" borderId="19" xfId="6" applyFont="1" applyBorder="1"/>
    <xf numFmtId="0" fontId="22" fillId="0" borderId="3" xfId="6" applyFont="1" applyBorder="1"/>
    <xf numFmtId="43" fontId="12" fillId="0" borderId="3" xfId="6" applyNumberFormat="1" applyFont="1" applyBorder="1" applyAlignment="1">
      <alignment horizontal="right"/>
    </xf>
    <xf numFmtId="0" fontId="5" fillId="0" borderId="29" xfId="6" applyFont="1" applyBorder="1"/>
    <xf numFmtId="43" fontId="11" fillId="0" borderId="2" xfId="7" applyFont="1" applyBorder="1"/>
    <xf numFmtId="0" fontId="33" fillId="0" borderId="0" xfId="6" applyFont="1"/>
    <xf numFmtId="0" fontId="8" fillId="0" borderId="0" xfId="6" applyFont="1" applyAlignment="1">
      <alignment horizontal="center"/>
    </xf>
    <xf numFmtId="43" fontId="8" fillId="0" borderId="0" xfId="1" applyFont="1" applyBorder="1"/>
    <xf numFmtId="0" fontId="8" fillId="0" borderId="0" xfId="6" applyFont="1"/>
    <xf numFmtId="0" fontId="23" fillId="0" borderId="0" xfId="6" applyFont="1"/>
    <xf numFmtId="0" fontId="13" fillId="0" borderId="0" xfId="6" applyFont="1"/>
    <xf numFmtId="0" fontId="23" fillId="0" borderId="0" xfId="6" applyFont="1" applyAlignment="1">
      <alignment horizontal="center"/>
    </xf>
    <xf numFmtId="43" fontId="8" fillId="0" borderId="0" xfId="6" applyNumberFormat="1" applyFont="1" applyAlignment="1">
      <alignment horizontal="center"/>
    </xf>
    <xf numFmtId="0" fontId="35" fillId="0" borderId="0" xfId="18" applyFont="1" applyAlignment="1">
      <alignment vertical="center"/>
    </xf>
    <xf numFmtId="0" fontId="35" fillId="0" borderId="0" xfId="18" applyFont="1" applyAlignment="1" applyProtection="1">
      <alignment vertical="center"/>
      <protection locked="0"/>
    </xf>
    <xf numFmtId="0" fontId="35" fillId="0" borderId="0" xfId="18" applyFont="1" applyAlignment="1" applyProtection="1">
      <alignment horizontal="left" vertical="center"/>
      <protection locked="0"/>
    </xf>
    <xf numFmtId="0" fontId="35" fillId="0" borderId="0" xfId="18" applyFont="1" applyAlignment="1" applyProtection="1">
      <alignment vertical="center" wrapText="1"/>
      <protection locked="0"/>
    </xf>
    <xf numFmtId="0" fontId="36" fillId="0" borderId="0" xfId="18" applyFont="1" applyAlignment="1" applyProtection="1">
      <alignment horizontal="center"/>
      <protection locked="0"/>
    </xf>
    <xf numFmtId="0" fontId="36" fillId="0" borderId="0" xfId="18" applyFont="1" applyAlignment="1">
      <alignment vertical="center"/>
    </xf>
    <xf numFmtId="0" fontId="36" fillId="0" borderId="9" xfId="18" applyFont="1" applyBorder="1" applyAlignment="1" applyProtection="1">
      <alignment horizontal="center" vertical="center"/>
      <protection locked="0"/>
    </xf>
    <xf numFmtId="0" fontId="36" fillId="0" borderId="0" xfId="18" applyFont="1" applyAlignment="1" applyProtection="1">
      <alignment horizontal="center" vertical="center"/>
      <protection locked="0"/>
    </xf>
    <xf numFmtId="0" fontId="36" fillId="0" borderId="0" xfId="18" applyFont="1" applyAlignment="1">
      <alignment horizontal="left"/>
    </xf>
    <xf numFmtId="0" fontId="37" fillId="0" borderId="0" xfId="18" applyFont="1"/>
    <xf numFmtId="0" fontId="37" fillId="0" borderId="0" xfId="18" applyFont="1" applyAlignment="1" applyProtection="1">
      <alignment wrapText="1"/>
      <protection locked="0"/>
    </xf>
    <xf numFmtId="43" fontId="12" fillId="0" borderId="0" xfId="6" applyNumberFormat="1" applyFont="1" applyAlignment="1">
      <alignment horizontal="right"/>
    </xf>
    <xf numFmtId="0" fontId="22" fillId="0" borderId="21" xfId="6" applyFont="1" applyBorder="1" applyAlignment="1">
      <alignment horizontal="center"/>
    </xf>
    <xf numFmtId="0" fontId="22" fillId="0" borderId="7" xfId="6" applyFont="1" applyBorder="1" applyAlignment="1">
      <alignment horizontal="center"/>
    </xf>
    <xf numFmtId="0" fontId="22" fillId="0" borderId="0" xfId="6" applyFont="1" applyBorder="1"/>
    <xf numFmtId="0" fontId="5" fillId="0" borderId="31" xfId="6" applyFont="1" applyBorder="1"/>
    <xf numFmtId="0" fontId="5" fillId="0" borderId="32" xfId="6" applyFont="1" applyBorder="1"/>
    <xf numFmtId="0" fontId="22" fillId="0" borderId="44" xfId="6" applyFont="1" applyBorder="1" applyAlignment="1">
      <alignment horizontal="center"/>
    </xf>
    <xf numFmtId="0" fontId="5" fillId="0" borderId="19" xfId="16" applyFont="1" applyBorder="1"/>
    <xf numFmtId="0" fontId="11" fillId="0" borderId="3" xfId="16" applyFont="1" applyBorder="1" applyAlignment="1">
      <alignment horizontal="center"/>
    </xf>
    <xf numFmtId="43" fontId="11" fillId="0" borderId="37" xfId="1" applyFont="1" applyBorder="1" applyAlignment="1"/>
    <xf numFmtId="43" fontId="11" fillId="0" borderId="34" xfId="6" applyNumberFormat="1" applyFont="1" applyBorder="1"/>
    <xf numFmtId="43" fontId="11" fillId="0" borderId="34" xfId="1" applyFont="1" applyBorder="1" applyAlignment="1"/>
    <xf numFmtId="0" fontId="12" fillId="0" borderId="0" xfId="16" applyFont="1" applyBorder="1"/>
    <xf numFmtId="0" fontId="7" fillId="0" borderId="0" xfId="6" applyFont="1" applyAlignment="1">
      <alignment horizontal="center"/>
    </xf>
    <xf numFmtId="0" fontId="22" fillId="0" borderId="17" xfId="6" applyFont="1" applyBorder="1" applyAlignment="1">
      <alignment horizontal="center"/>
    </xf>
    <xf numFmtId="0" fontId="22" fillId="0" borderId="0" xfId="6" applyFont="1" applyAlignment="1">
      <alignment horizontal="center"/>
    </xf>
    <xf numFmtId="0" fontId="36" fillId="0" borderId="0" xfId="18" applyFont="1" applyAlignment="1">
      <alignment horizontal="center"/>
    </xf>
    <xf numFmtId="0" fontId="36" fillId="0" borderId="0" xfId="18" applyFont="1" applyAlignment="1">
      <alignment horizontal="left" vertical="center"/>
    </xf>
    <xf numFmtId="0" fontId="5" fillId="0" borderId="18" xfId="6" applyFont="1" applyBorder="1" applyAlignment="1">
      <alignment horizontal="center"/>
    </xf>
    <xf numFmtId="0" fontId="5" fillId="0" borderId="11" xfId="6" applyFont="1" applyBorder="1" applyAlignment="1">
      <alignment horizontal="center"/>
    </xf>
    <xf numFmtId="0" fontId="32" fillId="0" borderId="0" xfId="6" applyFont="1" applyAlignment="1">
      <alignment horizontal="center"/>
    </xf>
    <xf numFmtId="0" fontId="36" fillId="0" borderId="0" xfId="18" applyFont="1" applyAlignment="1" applyProtection="1">
      <alignment horizontal="left" wrapText="1"/>
      <protection locked="0"/>
    </xf>
    <xf numFmtId="0" fontId="36" fillId="0" borderId="0" xfId="18" applyFont="1" applyAlignment="1" applyProtection="1">
      <alignment horizontal="center" wrapText="1"/>
      <protection locked="0"/>
    </xf>
    <xf numFmtId="43" fontId="19" fillId="0" borderId="0" xfId="6" quotePrefix="1" applyNumberFormat="1" applyFont="1" applyAlignment="1">
      <alignment horizontal="center"/>
    </xf>
    <xf numFmtId="0" fontId="5" fillId="0" borderId="12" xfId="16" applyFont="1" applyBorder="1" applyAlignment="1">
      <alignment horizontal="left" wrapText="1"/>
    </xf>
    <xf numFmtId="0" fontId="5" fillId="0" borderId="29" xfId="16" applyFont="1" applyBorder="1" applyAlignment="1">
      <alignment horizontal="left" wrapText="1"/>
    </xf>
    <xf numFmtId="0" fontId="5" fillId="0" borderId="26" xfId="6" applyFont="1" applyBorder="1" applyAlignment="1">
      <alignment horizontal="center"/>
    </xf>
    <xf numFmtId="0" fontId="22" fillId="0" borderId="6" xfId="6" applyFont="1" applyBorder="1" applyAlignment="1">
      <alignment horizontal="center"/>
    </xf>
    <xf numFmtId="0" fontId="10" fillId="0" borderId="12" xfId="0" applyFont="1" applyBorder="1" applyAlignment="1">
      <alignment horizontal="left" vertical="center" wrapText="1"/>
    </xf>
    <xf numFmtId="0" fontId="10" fillId="0" borderId="29" xfId="0" applyFont="1" applyBorder="1" applyAlignment="1">
      <alignment horizontal="left" vertical="center" wrapText="1"/>
    </xf>
    <xf numFmtId="0" fontId="11" fillId="0" borderId="0" xfId="16" quotePrefix="1" applyFont="1" applyAlignment="1">
      <alignment horizontal="center"/>
    </xf>
    <xf numFmtId="0" fontId="12" fillId="0" borderId="11" xfId="13" applyFont="1" applyBorder="1" applyAlignment="1">
      <alignment horizontal="center"/>
    </xf>
    <xf numFmtId="0" fontId="22" fillId="0" borderId="17" xfId="16" applyFont="1" applyBorder="1" applyAlignment="1">
      <alignment horizontal="center"/>
    </xf>
    <xf numFmtId="0" fontId="22" fillId="0" borderId="0" xfId="16" applyFont="1" applyAlignment="1">
      <alignment horizontal="center"/>
    </xf>
    <xf numFmtId="0" fontId="22" fillId="0" borderId="6" xfId="16" applyFont="1" applyBorder="1" applyAlignment="1">
      <alignment horizontal="center"/>
    </xf>
    <xf numFmtId="0" fontId="5" fillId="0" borderId="18" xfId="16" applyFont="1" applyBorder="1" applyAlignment="1">
      <alignment horizontal="center"/>
    </xf>
    <xf numFmtId="0" fontId="5" fillId="0" borderId="11" xfId="16" applyFont="1" applyBorder="1" applyAlignment="1">
      <alignment horizontal="center"/>
    </xf>
    <xf numFmtId="0" fontId="5" fillId="0" borderId="26" xfId="16" applyFont="1" applyBorder="1" applyAlignment="1">
      <alignment horizontal="center"/>
    </xf>
    <xf numFmtId="0" fontId="22" fillId="0" borderId="31" xfId="16" applyFont="1" applyBorder="1" applyAlignment="1">
      <alignment horizontal="center"/>
    </xf>
    <xf numFmtId="0" fontId="22" fillId="0" borderId="32" xfId="16" applyFont="1" applyBorder="1" applyAlignment="1">
      <alignment horizontal="center"/>
    </xf>
    <xf numFmtId="0" fontId="22" fillId="0" borderId="33" xfId="16" applyFont="1" applyBorder="1" applyAlignment="1">
      <alignment horizontal="center"/>
    </xf>
    <xf numFmtId="0" fontId="11" fillId="0" borderId="0" xfId="13" applyFont="1" applyAlignment="1">
      <alignment horizontal="center"/>
    </xf>
    <xf numFmtId="43" fontId="11" fillId="0" borderId="0" xfId="7" applyFont="1" applyBorder="1" applyAlignment="1">
      <alignment horizontal="center"/>
    </xf>
    <xf numFmtId="0" fontId="12" fillId="0" borderId="0" xfId="16" applyFont="1" applyAlignment="1">
      <alignment horizontal="center"/>
    </xf>
    <xf numFmtId="0" fontId="12" fillId="0" borderId="0" xfId="13" applyFont="1" applyAlignment="1">
      <alignment horizontal="center"/>
    </xf>
    <xf numFmtId="43" fontId="12" fillId="0" borderId="0" xfId="7" applyFont="1" applyBorder="1" applyAlignment="1">
      <alignment horizontal="center"/>
    </xf>
    <xf numFmtId="43" fontId="19" fillId="0" borderId="0" xfId="16" quotePrefix="1" applyNumberFormat="1" applyFont="1" applyAlignment="1">
      <alignment horizontal="center"/>
    </xf>
    <xf numFmtId="0" fontId="22" fillId="0" borderId="0" xfId="13" applyFont="1" applyAlignment="1">
      <alignment horizontal="center"/>
    </xf>
    <xf numFmtId="0" fontId="12" fillId="0" borderId="9" xfId="16" applyFont="1" applyBorder="1" applyAlignment="1">
      <alignment horizontal="center"/>
    </xf>
    <xf numFmtId="0" fontId="23" fillId="0" borderId="0" xfId="0" applyFont="1" applyAlignment="1">
      <alignment horizontal="center"/>
    </xf>
    <xf numFmtId="0" fontId="23" fillId="0" borderId="20" xfId="0" applyFont="1" applyBorder="1" applyAlignment="1">
      <alignment horizontal="center"/>
    </xf>
    <xf numFmtId="0" fontId="18" fillId="0" borderId="0" xfId="0" applyFont="1" applyAlignment="1">
      <alignment horizontal="center"/>
    </xf>
    <xf numFmtId="43" fontId="19" fillId="0" borderId="0" xfId="13" quotePrefix="1" applyNumberFormat="1" applyFont="1" applyAlignment="1">
      <alignment horizontal="center"/>
    </xf>
    <xf numFmtId="0" fontId="12" fillId="0" borderId="7" xfId="16" applyFont="1" applyBorder="1" applyAlignment="1">
      <alignment horizontal="center"/>
    </xf>
    <xf numFmtId="0" fontId="23" fillId="0" borderId="5" xfId="0" applyFont="1" applyBorder="1" applyAlignment="1">
      <alignment horizontal="center"/>
    </xf>
    <xf numFmtId="0" fontId="12" fillId="0" borderId="8" xfId="6" applyFont="1" applyBorder="1" applyAlignment="1">
      <alignment horizontal="center" vertical="center"/>
    </xf>
    <xf numFmtId="0" fontId="12" fillId="0" borderId="20" xfId="6" applyFont="1" applyBorder="1" applyAlignment="1">
      <alignment horizontal="center" vertical="center"/>
    </xf>
    <xf numFmtId="0" fontId="12" fillId="0" borderId="7" xfId="6" applyFont="1" applyBorder="1" applyAlignment="1">
      <alignment horizontal="center" vertical="center"/>
    </xf>
    <xf numFmtId="0" fontId="12" fillId="0" borderId="9" xfId="6" applyFont="1" applyBorder="1" applyAlignment="1">
      <alignment horizontal="center" vertical="center"/>
    </xf>
    <xf numFmtId="0" fontId="12" fillId="0" borderId="1" xfId="6" applyFont="1" applyBorder="1" applyAlignment="1">
      <alignment horizontal="center" vertical="center"/>
    </xf>
    <xf numFmtId="0" fontId="12" fillId="0" borderId="3" xfId="6" applyFont="1" applyBorder="1" applyAlignment="1">
      <alignment horizontal="center" vertical="center"/>
    </xf>
    <xf numFmtId="0" fontId="17" fillId="0" borderId="0" xfId="6" applyFont="1" applyAlignment="1">
      <alignment horizontal="center"/>
    </xf>
    <xf numFmtId="0" fontId="25" fillId="0" borderId="0" xfId="6" applyFont="1" applyAlignment="1">
      <alignment horizontal="center"/>
    </xf>
    <xf numFmtId="0" fontId="26" fillId="0" borderId="0" xfId="6" quotePrefix="1" applyFont="1" applyAlignment="1">
      <alignment horizontal="center"/>
    </xf>
    <xf numFmtId="0" fontId="19" fillId="0" borderId="0" xfId="6" quotePrefix="1" applyFont="1" applyAlignment="1">
      <alignment horizontal="center"/>
    </xf>
    <xf numFmtId="0" fontId="26" fillId="0" borderId="0" xfId="6" applyFont="1" applyAlignment="1">
      <alignment horizontal="justify" vertical="justify" wrapText="1"/>
    </xf>
  </cellXfs>
  <cellStyles count="19">
    <cellStyle name="Comma" xfId="1" builtinId="3"/>
    <cellStyle name="Comma 2" xfId="2"/>
    <cellStyle name="Comma 2 2" xfId="7"/>
    <cellStyle name="Comma 3" xfId="3"/>
    <cellStyle name="Comma 4" xfId="9"/>
    <cellStyle name="Comma 4 2" xfId="15"/>
    <cellStyle name="Comma 5" xfId="12"/>
    <cellStyle name="Excel Built-in Normal" xfId="10"/>
    <cellStyle name="Normal" xfId="0" builtinId="0"/>
    <cellStyle name="Normal 2" xfId="4"/>
    <cellStyle name="Normal 2 2" xfId="6"/>
    <cellStyle name="Normal 2 3" xfId="13"/>
    <cellStyle name="Normal 2 3 2" xfId="16"/>
    <cellStyle name="Normal 3" xfId="5"/>
    <cellStyle name="Normal 4" xfId="8"/>
    <cellStyle name="Normal 4 2" xfId="17"/>
    <cellStyle name="Normal 5" xfId="11"/>
    <cellStyle name="Normal 6" xfId="14"/>
    <cellStyle name="Normal 7" xfId="18"/>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8</xdr:col>
      <xdr:colOff>845587</xdr:colOff>
      <xdr:row>71</xdr:row>
      <xdr:rowOff>204108</xdr:rowOff>
    </xdr:from>
    <xdr:to>
      <xdr:col>9</xdr:col>
      <xdr:colOff>344939</xdr:colOff>
      <xdr:row>73</xdr:row>
      <xdr:rowOff>72858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01378" y="15930077"/>
          <a:ext cx="490729" cy="335281"/>
        </a:xfrm>
        <a:prstGeom prst="rect">
          <a:avLst/>
        </a:prstGeom>
      </xdr:spPr>
    </xdr:pic>
    <xdr:clientData/>
  </xdr:twoCellAnchor>
  <xdr:twoCellAnchor editAs="oneCell">
    <xdr:from>
      <xdr:col>11</xdr:col>
      <xdr:colOff>315231</xdr:colOff>
      <xdr:row>70</xdr:row>
      <xdr:rowOff>33367</xdr:rowOff>
    </xdr:from>
    <xdr:to>
      <xdr:col>12</xdr:col>
      <xdr:colOff>487834</xdr:colOff>
      <xdr:row>75</xdr:row>
      <xdr:rowOff>215783</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22705" y="15526071"/>
          <a:ext cx="1581915" cy="1348743"/>
        </a:xfrm>
        <a:prstGeom prst="rect">
          <a:avLst/>
        </a:prstGeom>
      </xdr:spPr>
    </xdr:pic>
    <xdr:clientData/>
  </xdr:twoCellAnchor>
  <xdr:twoCellAnchor editAs="oneCell">
    <xdr:from>
      <xdr:col>4</xdr:col>
      <xdr:colOff>106913</xdr:colOff>
      <xdr:row>70</xdr:row>
      <xdr:rowOff>38878</xdr:rowOff>
    </xdr:from>
    <xdr:to>
      <xdr:col>5</xdr:col>
      <xdr:colOff>1572196</xdr:colOff>
      <xdr:row>75</xdr:row>
      <xdr:rowOff>221294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8954" y="15531582"/>
          <a:ext cx="1581915" cy="1348743"/>
        </a:xfrm>
        <a:prstGeom prst="rect">
          <a:avLst/>
        </a:prstGeom>
      </xdr:spPr>
    </xdr:pic>
    <xdr:clientData/>
  </xdr:twoCellAnchor>
  <xdr:twoCellAnchor editAs="oneCell">
    <xdr:from>
      <xdr:col>8</xdr:col>
      <xdr:colOff>855305</xdr:colOff>
      <xdr:row>134</xdr:row>
      <xdr:rowOff>199898</xdr:rowOff>
    </xdr:from>
    <xdr:to>
      <xdr:col>9</xdr:col>
      <xdr:colOff>354657</xdr:colOff>
      <xdr:row>136</xdr:row>
      <xdr:rowOff>68648</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11096" y="31029796"/>
          <a:ext cx="490729" cy="335281"/>
        </a:xfrm>
        <a:prstGeom prst="rect">
          <a:avLst/>
        </a:prstGeom>
      </xdr:spPr>
    </xdr:pic>
    <xdr:clientData/>
  </xdr:twoCellAnchor>
  <xdr:twoCellAnchor editAs="oneCell">
    <xdr:from>
      <xdr:col>11</xdr:col>
      <xdr:colOff>324949</xdr:colOff>
      <xdr:row>133</xdr:row>
      <xdr:rowOff>29157</xdr:rowOff>
    </xdr:from>
    <xdr:to>
      <xdr:col>12</xdr:col>
      <xdr:colOff>497552</xdr:colOff>
      <xdr:row>138</xdr:row>
      <xdr:rowOff>211574</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32423" y="30625790"/>
          <a:ext cx="1581915" cy="1348743"/>
        </a:xfrm>
        <a:prstGeom prst="rect">
          <a:avLst/>
        </a:prstGeom>
      </xdr:spPr>
    </xdr:pic>
    <xdr:clientData/>
  </xdr:twoCellAnchor>
  <xdr:twoCellAnchor editAs="oneCell">
    <xdr:from>
      <xdr:col>4</xdr:col>
      <xdr:colOff>38876</xdr:colOff>
      <xdr:row>132</xdr:row>
      <xdr:rowOff>223546</xdr:rowOff>
    </xdr:from>
    <xdr:to>
      <xdr:col>5</xdr:col>
      <xdr:colOff>1504159</xdr:colOff>
      <xdr:row>138</xdr:row>
      <xdr:rowOff>172697</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0917" y="30586913"/>
          <a:ext cx="1581915" cy="1348743"/>
        </a:xfrm>
        <a:prstGeom prst="rect">
          <a:avLst/>
        </a:prstGeom>
      </xdr:spPr>
    </xdr:pic>
    <xdr:clientData/>
  </xdr:twoCellAnchor>
  <xdr:twoCellAnchor editAs="oneCell">
    <xdr:from>
      <xdr:col>8</xdr:col>
      <xdr:colOff>728954</xdr:colOff>
      <xdr:row>203</xdr:row>
      <xdr:rowOff>219337</xdr:rowOff>
    </xdr:from>
    <xdr:to>
      <xdr:col>9</xdr:col>
      <xdr:colOff>228306</xdr:colOff>
      <xdr:row>205</xdr:row>
      <xdr:rowOff>88088</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84745" y="48233113"/>
          <a:ext cx="490729" cy="335281"/>
        </a:xfrm>
        <a:prstGeom prst="rect">
          <a:avLst/>
        </a:prstGeom>
      </xdr:spPr>
    </xdr:pic>
    <xdr:clientData/>
  </xdr:twoCellAnchor>
  <xdr:twoCellAnchor editAs="oneCell">
    <xdr:from>
      <xdr:col>11</xdr:col>
      <xdr:colOff>198598</xdr:colOff>
      <xdr:row>202</xdr:row>
      <xdr:rowOff>48597</xdr:rowOff>
    </xdr:from>
    <xdr:to>
      <xdr:col>12</xdr:col>
      <xdr:colOff>371201</xdr:colOff>
      <xdr:row>207</xdr:row>
      <xdr:rowOff>231013</xdr:rowOff>
    </xdr:to>
    <xdr:pic>
      <xdr:nvPicPr>
        <xdr:cNvPr id="9"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6072" y="47829107"/>
          <a:ext cx="1581915" cy="1348743"/>
        </a:xfrm>
        <a:prstGeom prst="rect">
          <a:avLst/>
        </a:prstGeom>
      </xdr:spPr>
    </xdr:pic>
    <xdr:clientData/>
  </xdr:twoCellAnchor>
  <xdr:twoCellAnchor editAs="oneCell">
    <xdr:from>
      <xdr:col>3</xdr:col>
      <xdr:colOff>19438</xdr:colOff>
      <xdr:row>202</xdr:row>
      <xdr:rowOff>9720</xdr:rowOff>
    </xdr:from>
    <xdr:to>
      <xdr:col>5</xdr:col>
      <xdr:colOff>1377808</xdr:colOff>
      <xdr:row>207</xdr:row>
      <xdr:rowOff>192136</xdr:rowOff>
    </xdr:to>
    <xdr:pic>
      <xdr:nvPicPr>
        <xdr:cNvPr id="10" name="Picture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4566" y="47790230"/>
          <a:ext cx="1581915" cy="1348743"/>
        </a:xfrm>
        <a:prstGeom prst="rect">
          <a:avLst/>
        </a:prstGeom>
      </xdr:spPr>
    </xdr:pic>
    <xdr:clientData/>
  </xdr:twoCellAnchor>
  <xdr:twoCellAnchor editAs="oneCell">
    <xdr:from>
      <xdr:col>8</xdr:col>
      <xdr:colOff>952499</xdr:colOff>
      <xdr:row>272</xdr:row>
      <xdr:rowOff>54107</xdr:rowOff>
    </xdr:from>
    <xdr:to>
      <xdr:col>9</xdr:col>
      <xdr:colOff>451851</xdr:colOff>
      <xdr:row>273</xdr:row>
      <xdr:rowOff>156123</xdr:rowOff>
    </xdr:to>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08290" y="63920204"/>
          <a:ext cx="490729" cy="335281"/>
        </a:xfrm>
        <a:prstGeom prst="rect">
          <a:avLst/>
        </a:prstGeom>
      </xdr:spPr>
    </xdr:pic>
    <xdr:clientData/>
  </xdr:twoCellAnchor>
  <xdr:twoCellAnchor editAs="oneCell">
    <xdr:from>
      <xdr:col>11</xdr:col>
      <xdr:colOff>422143</xdr:colOff>
      <xdr:row>270</xdr:row>
      <xdr:rowOff>116632</xdr:rowOff>
    </xdr:from>
    <xdr:to>
      <xdr:col>12</xdr:col>
      <xdr:colOff>594746</xdr:colOff>
      <xdr:row>276</xdr:row>
      <xdr:rowOff>94941</xdr:rowOff>
    </xdr:to>
    <xdr:pic>
      <xdr:nvPicPr>
        <xdr:cNvPr id="12" name="Picture 1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29617" y="63516198"/>
          <a:ext cx="1581915" cy="1348743"/>
        </a:xfrm>
        <a:prstGeom prst="rect">
          <a:avLst/>
        </a:prstGeom>
      </xdr:spPr>
    </xdr:pic>
    <xdr:clientData/>
  </xdr:twoCellAnchor>
  <xdr:twoCellAnchor editAs="oneCell">
    <xdr:from>
      <xdr:col>5</xdr:col>
      <xdr:colOff>77755</xdr:colOff>
      <xdr:row>271</xdr:row>
      <xdr:rowOff>77754</xdr:rowOff>
    </xdr:from>
    <xdr:to>
      <xdr:col>5</xdr:col>
      <xdr:colOff>1316178</xdr:colOff>
      <xdr:row>275</xdr:row>
      <xdr:rowOff>163818</xdr:rowOff>
    </xdr:to>
    <xdr:pic>
      <xdr:nvPicPr>
        <xdr:cNvPr id="14" name="Picture 1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6428" y="63710586"/>
          <a:ext cx="1238423" cy="1028844"/>
        </a:xfrm>
        <a:prstGeom prst="rect">
          <a:avLst/>
        </a:prstGeom>
      </xdr:spPr>
    </xdr:pic>
    <xdr:clientData/>
  </xdr:twoCellAnchor>
  <xdr:twoCellAnchor editAs="oneCell">
    <xdr:from>
      <xdr:col>8</xdr:col>
      <xdr:colOff>952500</xdr:colOff>
      <xdr:row>333</xdr:row>
      <xdr:rowOff>15230</xdr:rowOff>
    </xdr:from>
    <xdr:to>
      <xdr:col>9</xdr:col>
      <xdr:colOff>451852</xdr:colOff>
      <xdr:row>334</xdr:row>
      <xdr:rowOff>117246</xdr:rowOff>
    </xdr:to>
    <xdr:pic>
      <xdr:nvPicPr>
        <xdr:cNvPr id="15" name="Picture 1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08291" y="77643980"/>
          <a:ext cx="490729" cy="335281"/>
        </a:xfrm>
        <a:prstGeom prst="rect">
          <a:avLst/>
        </a:prstGeom>
      </xdr:spPr>
    </xdr:pic>
    <xdr:clientData/>
  </xdr:twoCellAnchor>
  <xdr:twoCellAnchor editAs="oneCell">
    <xdr:from>
      <xdr:col>11</xdr:col>
      <xdr:colOff>422144</xdr:colOff>
      <xdr:row>331</xdr:row>
      <xdr:rowOff>77755</xdr:rowOff>
    </xdr:from>
    <xdr:to>
      <xdr:col>12</xdr:col>
      <xdr:colOff>594747</xdr:colOff>
      <xdr:row>337</xdr:row>
      <xdr:rowOff>26906</xdr:rowOff>
    </xdr:to>
    <xdr:pic>
      <xdr:nvPicPr>
        <xdr:cNvPr id="16" name="Picture 1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29618" y="77239974"/>
          <a:ext cx="1581915" cy="1348743"/>
        </a:xfrm>
        <a:prstGeom prst="rect">
          <a:avLst/>
        </a:prstGeom>
      </xdr:spPr>
    </xdr:pic>
    <xdr:clientData/>
  </xdr:twoCellAnchor>
  <xdr:twoCellAnchor editAs="oneCell">
    <xdr:from>
      <xdr:col>8</xdr:col>
      <xdr:colOff>923342</xdr:colOff>
      <xdr:row>396</xdr:row>
      <xdr:rowOff>34669</xdr:rowOff>
    </xdr:from>
    <xdr:to>
      <xdr:col>9</xdr:col>
      <xdr:colOff>422694</xdr:colOff>
      <xdr:row>397</xdr:row>
      <xdr:rowOff>126965</xdr:rowOff>
    </xdr:to>
    <xdr:pic>
      <xdr:nvPicPr>
        <xdr:cNvPr id="17" name="Picture 1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79133" y="92155026"/>
          <a:ext cx="490729" cy="335281"/>
        </a:xfrm>
        <a:prstGeom prst="rect">
          <a:avLst/>
        </a:prstGeom>
      </xdr:spPr>
    </xdr:pic>
    <xdr:clientData/>
  </xdr:twoCellAnchor>
  <xdr:twoCellAnchor editAs="oneCell">
    <xdr:from>
      <xdr:col>11</xdr:col>
      <xdr:colOff>392986</xdr:colOff>
      <xdr:row>394</xdr:row>
      <xdr:rowOff>116632</xdr:rowOff>
    </xdr:from>
    <xdr:to>
      <xdr:col>12</xdr:col>
      <xdr:colOff>565589</xdr:colOff>
      <xdr:row>400</xdr:row>
      <xdr:rowOff>7467</xdr:rowOff>
    </xdr:to>
    <xdr:pic>
      <xdr:nvPicPr>
        <xdr:cNvPr id="18" name="Picture 1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00460" y="91751020"/>
          <a:ext cx="1581915" cy="1348743"/>
        </a:xfrm>
        <a:prstGeom prst="rect">
          <a:avLst/>
        </a:prstGeom>
      </xdr:spPr>
    </xdr:pic>
    <xdr:clientData/>
  </xdr:twoCellAnchor>
  <xdr:twoCellAnchor editAs="oneCell">
    <xdr:from>
      <xdr:col>5</xdr:col>
      <xdr:colOff>417935</xdr:colOff>
      <xdr:row>394</xdr:row>
      <xdr:rowOff>213826</xdr:rowOff>
    </xdr:from>
    <xdr:to>
      <xdr:col>5</xdr:col>
      <xdr:colOff>1663225</xdr:colOff>
      <xdr:row>399</xdr:row>
      <xdr:rowOff>126353</xdr:rowOff>
    </xdr:to>
    <xdr:pic>
      <xdr:nvPicPr>
        <xdr:cNvPr id="19" name="Picture 1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56608" y="91848214"/>
          <a:ext cx="1245290" cy="1127450"/>
        </a:xfrm>
        <a:prstGeom prst="rect">
          <a:avLst/>
        </a:prstGeom>
      </xdr:spPr>
    </xdr:pic>
    <xdr:clientData/>
  </xdr:twoCellAnchor>
  <xdr:twoCellAnchor editAs="oneCell">
    <xdr:from>
      <xdr:col>8</xdr:col>
      <xdr:colOff>826148</xdr:colOff>
      <xdr:row>460</xdr:row>
      <xdr:rowOff>44389</xdr:rowOff>
    </xdr:from>
    <xdr:to>
      <xdr:col>9</xdr:col>
      <xdr:colOff>325500</xdr:colOff>
      <xdr:row>461</xdr:row>
      <xdr:rowOff>146404</xdr:rowOff>
    </xdr:to>
    <xdr:pic>
      <xdr:nvPicPr>
        <xdr:cNvPr id="20" name="Picture 1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81939" y="106909057"/>
          <a:ext cx="490729" cy="335281"/>
        </a:xfrm>
        <a:prstGeom prst="rect">
          <a:avLst/>
        </a:prstGeom>
      </xdr:spPr>
    </xdr:pic>
    <xdr:clientData/>
  </xdr:twoCellAnchor>
  <xdr:twoCellAnchor editAs="oneCell">
    <xdr:from>
      <xdr:col>11</xdr:col>
      <xdr:colOff>295792</xdr:colOff>
      <xdr:row>458</xdr:row>
      <xdr:rowOff>106913</xdr:rowOff>
    </xdr:from>
    <xdr:to>
      <xdr:col>12</xdr:col>
      <xdr:colOff>468395</xdr:colOff>
      <xdr:row>464</xdr:row>
      <xdr:rowOff>56064</xdr:rowOff>
    </xdr:to>
    <xdr:pic>
      <xdr:nvPicPr>
        <xdr:cNvPr id="21" name="Picture 20"/>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03266" y="106505051"/>
          <a:ext cx="1581915" cy="1348743"/>
        </a:xfrm>
        <a:prstGeom prst="rect">
          <a:avLst/>
        </a:prstGeom>
      </xdr:spPr>
    </xdr:pic>
    <xdr:clientData/>
  </xdr:twoCellAnchor>
  <xdr:twoCellAnchor editAs="oneCell">
    <xdr:from>
      <xdr:col>5</xdr:col>
      <xdr:colOff>485969</xdr:colOff>
      <xdr:row>460</xdr:row>
      <xdr:rowOff>0</xdr:rowOff>
    </xdr:from>
    <xdr:to>
      <xdr:col>5</xdr:col>
      <xdr:colOff>976698</xdr:colOff>
      <xdr:row>461</xdr:row>
      <xdr:rowOff>102015</xdr:rowOff>
    </xdr:to>
    <xdr:pic>
      <xdr:nvPicPr>
        <xdr:cNvPr id="22" name="Picture 2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642" y="106864668"/>
          <a:ext cx="490729" cy="335281"/>
        </a:xfrm>
        <a:prstGeom prst="rect">
          <a:avLst/>
        </a:prstGeom>
      </xdr:spPr>
    </xdr:pic>
    <xdr:clientData/>
  </xdr:twoCellAnchor>
  <xdr:twoCellAnchor editAs="oneCell">
    <xdr:from>
      <xdr:col>8</xdr:col>
      <xdr:colOff>835868</xdr:colOff>
      <xdr:row>529</xdr:row>
      <xdr:rowOff>34669</xdr:rowOff>
    </xdr:from>
    <xdr:to>
      <xdr:col>9</xdr:col>
      <xdr:colOff>335220</xdr:colOff>
      <xdr:row>530</xdr:row>
      <xdr:rowOff>136685</xdr:rowOff>
    </xdr:to>
    <xdr:pic>
      <xdr:nvPicPr>
        <xdr:cNvPr id="23" name="Picture 2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91659" y="122722501"/>
          <a:ext cx="490729" cy="335281"/>
        </a:xfrm>
        <a:prstGeom prst="rect">
          <a:avLst/>
        </a:prstGeom>
      </xdr:spPr>
    </xdr:pic>
    <xdr:clientData/>
  </xdr:twoCellAnchor>
  <xdr:twoCellAnchor editAs="oneCell">
    <xdr:from>
      <xdr:col>11</xdr:col>
      <xdr:colOff>305512</xdr:colOff>
      <xdr:row>527</xdr:row>
      <xdr:rowOff>97194</xdr:rowOff>
    </xdr:from>
    <xdr:to>
      <xdr:col>12</xdr:col>
      <xdr:colOff>478115</xdr:colOff>
      <xdr:row>533</xdr:row>
      <xdr:rowOff>46345</xdr:rowOff>
    </xdr:to>
    <xdr:pic>
      <xdr:nvPicPr>
        <xdr:cNvPr id="24" name="Picture 2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12986" y="122318495"/>
          <a:ext cx="1581915" cy="1348743"/>
        </a:xfrm>
        <a:prstGeom prst="rect">
          <a:avLst/>
        </a:prstGeom>
      </xdr:spPr>
    </xdr:pic>
    <xdr:clientData/>
  </xdr:twoCellAnchor>
  <xdr:twoCellAnchor editAs="oneCell">
    <xdr:from>
      <xdr:col>5</xdr:col>
      <xdr:colOff>388776</xdr:colOff>
      <xdr:row>529</xdr:row>
      <xdr:rowOff>0</xdr:rowOff>
    </xdr:from>
    <xdr:to>
      <xdr:col>5</xdr:col>
      <xdr:colOff>1223930</xdr:colOff>
      <xdr:row>529</xdr:row>
      <xdr:rowOff>201168</xdr:rowOff>
    </xdr:to>
    <xdr:pic>
      <xdr:nvPicPr>
        <xdr:cNvPr id="25" name="Picture 2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27449" y="122687832"/>
          <a:ext cx="835154" cy="201168"/>
        </a:xfrm>
        <a:prstGeom prst="rect">
          <a:avLst/>
        </a:prstGeom>
      </xdr:spPr>
    </xdr:pic>
    <xdr:clientData/>
  </xdr:twoCellAnchor>
  <xdr:twoCellAnchor editAs="oneCell">
    <xdr:from>
      <xdr:col>8</xdr:col>
      <xdr:colOff>923342</xdr:colOff>
      <xdr:row>599</xdr:row>
      <xdr:rowOff>238777</xdr:rowOff>
    </xdr:from>
    <xdr:to>
      <xdr:col>9</xdr:col>
      <xdr:colOff>422694</xdr:colOff>
      <xdr:row>601</xdr:row>
      <xdr:rowOff>88088</xdr:rowOff>
    </xdr:to>
    <xdr:pic>
      <xdr:nvPicPr>
        <xdr:cNvPr id="26" name="Picture 2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79133" y="139060792"/>
          <a:ext cx="490729" cy="335281"/>
        </a:xfrm>
        <a:prstGeom prst="rect">
          <a:avLst/>
        </a:prstGeom>
      </xdr:spPr>
    </xdr:pic>
    <xdr:clientData/>
  </xdr:twoCellAnchor>
  <xdr:twoCellAnchor editAs="oneCell">
    <xdr:from>
      <xdr:col>11</xdr:col>
      <xdr:colOff>392986</xdr:colOff>
      <xdr:row>598</xdr:row>
      <xdr:rowOff>77755</xdr:rowOff>
    </xdr:from>
    <xdr:to>
      <xdr:col>12</xdr:col>
      <xdr:colOff>565589</xdr:colOff>
      <xdr:row>603</xdr:row>
      <xdr:rowOff>211575</xdr:rowOff>
    </xdr:to>
    <xdr:pic>
      <xdr:nvPicPr>
        <xdr:cNvPr id="27" name="Picture 2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00460" y="138656786"/>
          <a:ext cx="1581915" cy="1348743"/>
        </a:xfrm>
        <a:prstGeom prst="rect">
          <a:avLst/>
        </a:prstGeom>
      </xdr:spPr>
    </xdr:pic>
    <xdr:clientData/>
  </xdr:twoCellAnchor>
  <xdr:twoCellAnchor editAs="oneCell">
    <xdr:from>
      <xdr:col>5</xdr:col>
      <xdr:colOff>320740</xdr:colOff>
      <xdr:row>600</xdr:row>
      <xdr:rowOff>0</xdr:rowOff>
    </xdr:from>
    <xdr:to>
      <xdr:col>5</xdr:col>
      <xdr:colOff>1129986</xdr:colOff>
      <xdr:row>602</xdr:row>
      <xdr:rowOff>135824</xdr:rowOff>
    </xdr:to>
    <xdr:pic>
      <xdr:nvPicPr>
        <xdr:cNvPr id="28" name="Picture 27"/>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059413" y="139065000"/>
          <a:ext cx="809246" cy="621793"/>
        </a:xfrm>
        <a:prstGeom prst="rect">
          <a:avLst/>
        </a:prstGeom>
      </xdr:spPr>
    </xdr:pic>
    <xdr:clientData/>
  </xdr:twoCellAnchor>
  <xdr:twoCellAnchor editAs="oneCell">
    <xdr:from>
      <xdr:col>8</xdr:col>
      <xdr:colOff>971939</xdr:colOff>
      <xdr:row>665</xdr:row>
      <xdr:rowOff>24950</xdr:rowOff>
    </xdr:from>
    <xdr:to>
      <xdr:col>9</xdr:col>
      <xdr:colOff>471291</xdr:colOff>
      <xdr:row>666</xdr:row>
      <xdr:rowOff>126966</xdr:rowOff>
    </xdr:to>
    <xdr:pic>
      <xdr:nvPicPr>
        <xdr:cNvPr id="29" name="Picture 2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7730" y="154018930"/>
          <a:ext cx="490729" cy="335281"/>
        </a:xfrm>
        <a:prstGeom prst="rect">
          <a:avLst/>
        </a:prstGeom>
      </xdr:spPr>
    </xdr:pic>
    <xdr:clientData/>
  </xdr:twoCellAnchor>
  <xdr:twoCellAnchor editAs="oneCell">
    <xdr:from>
      <xdr:col>11</xdr:col>
      <xdr:colOff>441583</xdr:colOff>
      <xdr:row>663</xdr:row>
      <xdr:rowOff>87475</xdr:rowOff>
    </xdr:from>
    <xdr:to>
      <xdr:col>12</xdr:col>
      <xdr:colOff>614186</xdr:colOff>
      <xdr:row>669</xdr:row>
      <xdr:rowOff>36626</xdr:rowOff>
    </xdr:to>
    <xdr:pic>
      <xdr:nvPicPr>
        <xdr:cNvPr id="30" name="Picture 2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9057" y="153614924"/>
          <a:ext cx="1581915" cy="1348743"/>
        </a:xfrm>
        <a:prstGeom prst="rect">
          <a:avLst/>
        </a:prstGeom>
      </xdr:spPr>
    </xdr:pic>
    <xdr:clientData/>
  </xdr:twoCellAnchor>
  <xdr:twoCellAnchor editAs="oneCell">
    <xdr:from>
      <xdr:col>5</xdr:col>
      <xdr:colOff>437374</xdr:colOff>
      <xdr:row>663</xdr:row>
      <xdr:rowOff>204108</xdr:rowOff>
    </xdr:from>
    <xdr:to>
      <xdr:col>5</xdr:col>
      <xdr:colOff>1487068</xdr:colOff>
      <xdr:row>668</xdr:row>
      <xdr:rowOff>87475</xdr:rowOff>
    </xdr:to>
    <xdr:pic>
      <xdr:nvPicPr>
        <xdr:cNvPr id="31" name="Picture 30"/>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76047" y="153731557"/>
          <a:ext cx="1049694" cy="1049694"/>
        </a:xfrm>
        <a:prstGeom prst="rect">
          <a:avLst/>
        </a:prstGeom>
      </xdr:spPr>
    </xdr:pic>
    <xdr:clientData/>
  </xdr:twoCellAnchor>
  <xdr:twoCellAnchor editAs="oneCell">
    <xdr:from>
      <xdr:col>8</xdr:col>
      <xdr:colOff>923342</xdr:colOff>
      <xdr:row>736</xdr:row>
      <xdr:rowOff>15230</xdr:rowOff>
    </xdr:from>
    <xdr:to>
      <xdr:col>9</xdr:col>
      <xdr:colOff>422694</xdr:colOff>
      <xdr:row>737</xdr:row>
      <xdr:rowOff>117245</xdr:rowOff>
    </xdr:to>
    <xdr:pic>
      <xdr:nvPicPr>
        <xdr:cNvPr id="32" name="Picture 3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79133" y="170269745"/>
          <a:ext cx="490729" cy="335281"/>
        </a:xfrm>
        <a:prstGeom prst="rect">
          <a:avLst/>
        </a:prstGeom>
      </xdr:spPr>
    </xdr:pic>
    <xdr:clientData/>
  </xdr:twoCellAnchor>
  <xdr:twoCellAnchor editAs="oneCell">
    <xdr:from>
      <xdr:col>11</xdr:col>
      <xdr:colOff>392986</xdr:colOff>
      <xdr:row>734</xdr:row>
      <xdr:rowOff>77754</xdr:rowOff>
    </xdr:from>
    <xdr:to>
      <xdr:col>12</xdr:col>
      <xdr:colOff>565589</xdr:colOff>
      <xdr:row>740</xdr:row>
      <xdr:rowOff>26905</xdr:rowOff>
    </xdr:to>
    <xdr:pic>
      <xdr:nvPicPr>
        <xdr:cNvPr id="33" name="Picture 3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00460" y="169865739"/>
          <a:ext cx="1581915" cy="1348743"/>
        </a:xfrm>
        <a:prstGeom prst="rect">
          <a:avLst/>
        </a:prstGeom>
      </xdr:spPr>
    </xdr:pic>
    <xdr:clientData/>
  </xdr:twoCellAnchor>
  <xdr:twoCellAnchor editAs="oneCell">
    <xdr:from>
      <xdr:col>5</xdr:col>
      <xdr:colOff>495689</xdr:colOff>
      <xdr:row>734</xdr:row>
      <xdr:rowOff>155511</xdr:rowOff>
    </xdr:from>
    <xdr:to>
      <xdr:col>5</xdr:col>
      <xdr:colOff>1496786</xdr:colOff>
      <xdr:row>738</xdr:row>
      <xdr:rowOff>128814</xdr:rowOff>
    </xdr:to>
    <xdr:pic>
      <xdr:nvPicPr>
        <xdr:cNvPr id="34" name="Picture 3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34362" y="169943496"/>
          <a:ext cx="1001097" cy="906364"/>
        </a:xfrm>
        <a:prstGeom prst="rect">
          <a:avLst/>
        </a:prstGeom>
      </xdr:spPr>
    </xdr:pic>
    <xdr:clientData/>
  </xdr:twoCellAnchor>
  <xdr:twoCellAnchor editAs="oneCell">
    <xdr:from>
      <xdr:col>8</xdr:col>
      <xdr:colOff>796990</xdr:colOff>
      <xdr:row>813</xdr:row>
      <xdr:rowOff>83266</xdr:rowOff>
    </xdr:from>
    <xdr:to>
      <xdr:col>9</xdr:col>
      <xdr:colOff>296342</xdr:colOff>
      <xdr:row>814</xdr:row>
      <xdr:rowOff>175563</xdr:rowOff>
    </xdr:to>
    <xdr:pic>
      <xdr:nvPicPr>
        <xdr:cNvPr id="35" name="Picture 3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52781" y="188318649"/>
          <a:ext cx="490729" cy="335281"/>
        </a:xfrm>
        <a:prstGeom prst="rect">
          <a:avLst/>
        </a:prstGeom>
      </xdr:spPr>
    </xdr:pic>
    <xdr:clientData/>
  </xdr:twoCellAnchor>
  <xdr:twoCellAnchor editAs="oneCell">
    <xdr:from>
      <xdr:col>11</xdr:col>
      <xdr:colOff>266634</xdr:colOff>
      <xdr:row>811</xdr:row>
      <xdr:rowOff>165230</xdr:rowOff>
    </xdr:from>
    <xdr:to>
      <xdr:col>12</xdr:col>
      <xdr:colOff>439237</xdr:colOff>
      <xdr:row>817</xdr:row>
      <xdr:rowOff>65784</xdr:rowOff>
    </xdr:to>
    <xdr:pic>
      <xdr:nvPicPr>
        <xdr:cNvPr id="36" name="Picture 3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4108" y="187914643"/>
          <a:ext cx="1581915" cy="1348743"/>
        </a:xfrm>
        <a:prstGeom prst="rect">
          <a:avLst/>
        </a:prstGeom>
      </xdr:spPr>
    </xdr:pic>
    <xdr:clientData/>
  </xdr:twoCellAnchor>
  <xdr:twoCellAnchor editAs="oneCell">
    <xdr:from>
      <xdr:col>5</xdr:col>
      <xdr:colOff>242984</xdr:colOff>
      <xdr:row>812</xdr:row>
      <xdr:rowOff>48598</xdr:rowOff>
    </xdr:from>
    <xdr:to>
      <xdr:col>5</xdr:col>
      <xdr:colOff>1678595</xdr:colOff>
      <xdr:row>816</xdr:row>
      <xdr:rowOff>77929</xdr:rowOff>
    </xdr:to>
    <xdr:pic>
      <xdr:nvPicPr>
        <xdr:cNvPr id="37" name="Picture 36"/>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981657" y="188040996"/>
          <a:ext cx="1435611" cy="1001270"/>
        </a:xfrm>
        <a:prstGeom prst="rect">
          <a:avLst/>
        </a:prstGeom>
      </xdr:spPr>
    </xdr:pic>
    <xdr:clientData/>
  </xdr:twoCellAnchor>
  <xdr:twoCellAnchor editAs="oneCell">
    <xdr:from>
      <xdr:col>8</xdr:col>
      <xdr:colOff>816428</xdr:colOff>
      <xdr:row>880</xdr:row>
      <xdr:rowOff>170741</xdr:rowOff>
    </xdr:from>
    <xdr:to>
      <xdr:col>9</xdr:col>
      <xdr:colOff>315780</xdr:colOff>
      <xdr:row>882</xdr:row>
      <xdr:rowOff>117246</xdr:rowOff>
    </xdr:to>
    <xdr:pic>
      <xdr:nvPicPr>
        <xdr:cNvPr id="38" name="Picture 3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72219" y="203636404"/>
          <a:ext cx="490729" cy="335281"/>
        </a:xfrm>
        <a:prstGeom prst="rect">
          <a:avLst/>
        </a:prstGeom>
      </xdr:spPr>
    </xdr:pic>
    <xdr:clientData/>
  </xdr:twoCellAnchor>
  <xdr:twoCellAnchor editAs="oneCell">
    <xdr:from>
      <xdr:col>11</xdr:col>
      <xdr:colOff>286072</xdr:colOff>
      <xdr:row>878</xdr:row>
      <xdr:rowOff>155510</xdr:rowOff>
    </xdr:from>
    <xdr:to>
      <xdr:col>12</xdr:col>
      <xdr:colOff>458675</xdr:colOff>
      <xdr:row>885</xdr:row>
      <xdr:rowOff>143539</xdr:rowOff>
    </xdr:to>
    <xdr:pic>
      <xdr:nvPicPr>
        <xdr:cNvPr id="39" name="Picture 3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93546" y="203232398"/>
          <a:ext cx="1581915" cy="1348743"/>
        </a:xfrm>
        <a:prstGeom prst="rect">
          <a:avLst/>
        </a:prstGeom>
      </xdr:spPr>
    </xdr:pic>
    <xdr:clientData/>
  </xdr:twoCellAnchor>
  <xdr:twoCellAnchor editAs="oneCell">
    <xdr:from>
      <xdr:col>8</xdr:col>
      <xdr:colOff>796990</xdr:colOff>
      <xdr:row>950</xdr:row>
      <xdr:rowOff>44389</xdr:rowOff>
    </xdr:from>
    <xdr:to>
      <xdr:col>9</xdr:col>
      <xdr:colOff>296342</xdr:colOff>
      <xdr:row>951</xdr:row>
      <xdr:rowOff>136685</xdr:rowOff>
    </xdr:to>
    <xdr:pic>
      <xdr:nvPicPr>
        <xdr:cNvPr id="40" name="Picture 3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52781" y="219479006"/>
          <a:ext cx="490729" cy="335281"/>
        </a:xfrm>
        <a:prstGeom prst="rect">
          <a:avLst/>
        </a:prstGeom>
      </xdr:spPr>
    </xdr:pic>
    <xdr:clientData/>
  </xdr:twoCellAnchor>
  <xdr:twoCellAnchor editAs="oneCell">
    <xdr:from>
      <xdr:col>11</xdr:col>
      <xdr:colOff>266634</xdr:colOff>
      <xdr:row>948</xdr:row>
      <xdr:rowOff>126352</xdr:rowOff>
    </xdr:from>
    <xdr:to>
      <xdr:col>12</xdr:col>
      <xdr:colOff>439237</xdr:colOff>
      <xdr:row>954</xdr:row>
      <xdr:rowOff>17187</xdr:rowOff>
    </xdr:to>
    <xdr:pic>
      <xdr:nvPicPr>
        <xdr:cNvPr id="41" name="Picture 40"/>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4108" y="219075000"/>
          <a:ext cx="1581915" cy="1348743"/>
        </a:xfrm>
        <a:prstGeom prst="rect">
          <a:avLst/>
        </a:prstGeom>
      </xdr:spPr>
    </xdr:pic>
    <xdr:clientData/>
  </xdr:twoCellAnchor>
  <xdr:twoCellAnchor editAs="oneCell">
    <xdr:from>
      <xdr:col>5</xdr:col>
      <xdr:colOff>0</xdr:colOff>
      <xdr:row>950</xdr:row>
      <xdr:rowOff>0</xdr:rowOff>
    </xdr:from>
    <xdr:to>
      <xdr:col>5</xdr:col>
      <xdr:colOff>1600203</xdr:colOff>
      <xdr:row>953</xdr:row>
      <xdr:rowOff>185448</xdr:rowOff>
    </xdr:to>
    <xdr:pic>
      <xdr:nvPicPr>
        <xdr:cNvPr id="42" name="Picture 41"/>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38673" y="219434617"/>
          <a:ext cx="1600203" cy="914402"/>
        </a:xfrm>
        <a:prstGeom prst="rect">
          <a:avLst/>
        </a:prstGeom>
      </xdr:spPr>
    </xdr:pic>
    <xdr:clientData/>
  </xdr:twoCellAnchor>
  <xdr:twoCellAnchor editAs="oneCell">
    <xdr:from>
      <xdr:col>8</xdr:col>
      <xdr:colOff>787270</xdr:colOff>
      <xdr:row>1013</xdr:row>
      <xdr:rowOff>5511</xdr:rowOff>
    </xdr:from>
    <xdr:to>
      <xdr:col>9</xdr:col>
      <xdr:colOff>286622</xdr:colOff>
      <xdr:row>1014</xdr:row>
      <xdr:rowOff>107527</xdr:rowOff>
    </xdr:to>
    <xdr:pic>
      <xdr:nvPicPr>
        <xdr:cNvPr id="43" name="Picture 4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43061" y="233922016"/>
          <a:ext cx="490729" cy="335281"/>
        </a:xfrm>
        <a:prstGeom prst="rect">
          <a:avLst/>
        </a:prstGeom>
      </xdr:spPr>
    </xdr:pic>
    <xdr:clientData/>
  </xdr:twoCellAnchor>
  <xdr:twoCellAnchor editAs="oneCell">
    <xdr:from>
      <xdr:col>11</xdr:col>
      <xdr:colOff>256914</xdr:colOff>
      <xdr:row>1011</xdr:row>
      <xdr:rowOff>68036</xdr:rowOff>
    </xdr:from>
    <xdr:to>
      <xdr:col>12</xdr:col>
      <xdr:colOff>429517</xdr:colOff>
      <xdr:row>1017</xdr:row>
      <xdr:rowOff>17187</xdr:rowOff>
    </xdr:to>
    <xdr:pic>
      <xdr:nvPicPr>
        <xdr:cNvPr id="44" name="Picture 4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64388" y="233518010"/>
          <a:ext cx="1581915" cy="1348743"/>
        </a:xfrm>
        <a:prstGeom prst="rect">
          <a:avLst/>
        </a:prstGeom>
      </xdr:spPr>
    </xdr:pic>
    <xdr:clientData/>
  </xdr:twoCellAnchor>
  <xdr:twoCellAnchor editAs="oneCell">
    <xdr:from>
      <xdr:col>5</xdr:col>
      <xdr:colOff>0</xdr:colOff>
      <xdr:row>1013</xdr:row>
      <xdr:rowOff>0</xdr:rowOff>
    </xdr:from>
    <xdr:to>
      <xdr:col>5</xdr:col>
      <xdr:colOff>1600203</xdr:colOff>
      <xdr:row>1016</xdr:row>
      <xdr:rowOff>214606</xdr:rowOff>
    </xdr:to>
    <xdr:pic>
      <xdr:nvPicPr>
        <xdr:cNvPr id="45" name="Picture 44"/>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38673" y="233916505"/>
          <a:ext cx="1600203" cy="914402"/>
        </a:xfrm>
        <a:prstGeom prst="rect">
          <a:avLst/>
        </a:prstGeom>
      </xdr:spPr>
    </xdr:pic>
    <xdr:clientData/>
  </xdr:twoCellAnchor>
  <xdr:twoCellAnchor editAs="oneCell">
    <xdr:from>
      <xdr:col>8</xdr:col>
      <xdr:colOff>728954</xdr:colOff>
      <xdr:row>1080</xdr:row>
      <xdr:rowOff>83266</xdr:rowOff>
    </xdr:from>
    <xdr:to>
      <xdr:col>9</xdr:col>
      <xdr:colOff>228306</xdr:colOff>
      <xdr:row>1081</xdr:row>
      <xdr:rowOff>185282</xdr:rowOff>
    </xdr:to>
    <xdr:pic>
      <xdr:nvPicPr>
        <xdr:cNvPr id="46" name="Picture 4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84745" y="249356404"/>
          <a:ext cx="490729" cy="335281"/>
        </a:xfrm>
        <a:prstGeom prst="rect">
          <a:avLst/>
        </a:prstGeom>
      </xdr:spPr>
    </xdr:pic>
    <xdr:clientData/>
  </xdr:twoCellAnchor>
  <xdr:twoCellAnchor editAs="oneCell">
    <xdr:from>
      <xdr:col>11</xdr:col>
      <xdr:colOff>198598</xdr:colOff>
      <xdr:row>1078</xdr:row>
      <xdr:rowOff>145791</xdr:rowOff>
    </xdr:from>
    <xdr:to>
      <xdr:col>12</xdr:col>
      <xdr:colOff>371201</xdr:colOff>
      <xdr:row>1084</xdr:row>
      <xdr:rowOff>94942</xdr:rowOff>
    </xdr:to>
    <xdr:pic>
      <xdr:nvPicPr>
        <xdr:cNvPr id="47" name="Picture 4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6072" y="248952398"/>
          <a:ext cx="1581915" cy="1348743"/>
        </a:xfrm>
        <a:prstGeom prst="rect">
          <a:avLst/>
        </a:prstGeom>
      </xdr:spPr>
    </xdr:pic>
    <xdr:clientData/>
  </xdr:twoCellAnchor>
  <xdr:twoCellAnchor editAs="oneCell">
    <xdr:from>
      <xdr:col>5</xdr:col>
      <xdr:colOff>0</xdr:colOff>
      <xdr:row>1080</xdr:row>
      <xdr:rowOff>0</xdr:rowOff>
    </xdr:from>
    <xdr:to>
      <xdr:col>5</xdr:col>
      <xdr:colOff>1751079</xdr:colOff>
      <xdr:row>1082</xdr:row>
      <xdr:rowOff>77539</xdr:rowOff>
    </xdr:to>
    <xdr:pic>
      <xdr:nvPicPr>
        <xdr:cNvPr id="48" name="Picture 4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738673" y="249273138"/>
          <a:ext cx="1751079" cy="544069"/>
        </a:xfrm>
        <a:prstGeom prst="rect">
          <a:avLst/>
        </a:prstGeom>
      </xdr:spPr>
    </xdr:pic>
    <xdr:clientData/>
  </xdr:twoCellAnchor>
  <xdr:twoCellAnchor editAs="oneCell">
    <xdr:from>
      <xdr:col>8</xdr:col>
      <xdr:colOff>748393</xdr:colOff>
      <xdr:row>1157</xdr:row>
      <xdr:rowOff>229057</xdr:rowOff>
    </xdr:from>
    <xdr:to>
      <xdr:col>9</xdr:col>
      <xdr:colOff>247745</xdr:colOff>
      <xdr:row>1159</xdr:row>
      <xdr:rowOff>97807</xdr:rowOff>
    </xdr:to>
    <xdr:pic>
      <xdr:nvPicPr>
        <xdr:cNvPr id="49" name="Picture 4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04184" y="267230358"/>
          <a:ext cx="490729" cy="335281"/>
        </a:xfrm>
        <a:prstGeom prst="rect">
          <a:avLst/>
        </a:prstGeom>
      </xdr:spPr>
    </xdr:pic>
    <xdr:clientData/>
  </xdr:twoCellAnchor>
  <xdr:twoCellAnchor editAs="oneCell">
    <xdr:from>
      <xdr:col>11</xdr:col>
      <xdr:colOff>218037</xdr:colOff>
      <xdr:row>1156</xdr:row>
      <xdr:rowOff>58316</xdr:rowOff>
    </xdr:from>
    <xdr:to>
      <xdr:col>12</xdr:col>
      <xdr:colOff>390640</xdr:colOff>
      <xdr:row>1162</xdr:row>
      <xdr:rowOff>7467</xdr:rowOff>
    </xdr:to>
    <xdr:pic>
      <xdr:nvPicPr>
        <xdr:cNvPr id="50" name="Picture 4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25511" y="266826352"/>
          <a:ext cx="1581915" cy="1348743"/>
        </a:xfrm>
        <a:prstGeom prst="rect">
          <a:avLst/>
        </a:prstGeom>
      </xdr:spPr>
    </xdr:pic>
    <xdr:clientData/>
  </xdr:twoCellAnchor>
  <xdr:twoCellAnchor editAs="oneCell">
    <xdr:from>
      <xdr:col>5</xdr:col>
      <xdr:colOff>68036</xdr:colOff>
      <xdr:row>1156</xdr:row>
      <xdr:rowOff>116632</xdr:rowOff>
    </xdr:from>
    <xdr:to>
      <xdr:col>5</xdr:col>
      <xdr:colOff>1649951</xdr:colOff>
      <xdr:row>1162</xdr:row>
      <xdr:rowOff>65783</xdr:rowOff>
    </xdr:to>
    <xdr:pic>
      <xdr:nvPicPr>
        <xdr:cNvPr id="51" name="Picture 50"/>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6709" y="266884668"/>
          <a:ext cx="1581915" cy="13487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295275</xdr:colOff>
      <xdr:row>93</xdr:row>
      <xdr:rowOff>28575</xdr:rowOff>
    </xdr:from>
    <xdr:to>
      <xdr:col>7</xdr:col>
      <xdr:colOff>885825</xdr:colOff>
      <xdr:row>93</xdr:row>
      <xdr:rowOff>28575</xdr:rowOff>
    </xdr:to>
    <xdr:cxnSp macro="">
      <xdr:nvCxnSpPr>
        <xdr:cNvPr id="2" name="Straight Connector 1">
          <a:extLst>
            <a:ext uri="{FF2B5EF4-FFF2-40B4-BE49-F238E27FC236}">
              <a16:creationId xmlns:a16="http://schemas.microsoft.com/office/drawing/2014/main" id="{F76EED8B-1EAA-4E4C-AEFB-71052D7D0C6F}"/>
            </a:ext>
          </a:extLst>
        </xdr:cNvPr>
        <xdr:cNvCxnSpPr/>
      </xdr:nvCxnSpPr>
      <xdr:spPr>
        <a:xfrm>
          <a:off x="3200400" y="22555200"/>
          <a:ext cx="16573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93</xdr:row>
      <xdr:rowOff>19050</xdr:rowOff>
    </xdr:from>
    <xdr:to>
      <xdr:col>10</xdr:col>
      <xdr:colOff>9525</xdr:colOff>
      <xdr:row>93</xdr:row>
      <xdr:rowOff>19050</xdr:rowOff>
    </xdr:to>
    <xdr:cxnSp macro="">
      <xdr:nvCxnSpPr>
        <xdr:cNvPr id="3" name="Straight Connector 2">
          <a:extLst>
            <a:ext uri="{FF2B5EF4-FFF2-40B4-BE49-F238E27FC236}">
              <a16:creationId xmlns:a16="http://schemas.microsoft.com/office/drawing/2014/main" id="{E311C5AD-B499-4810-A1AC-9870405A7C06}"/>
            </a:ext>
          </a:extLst>
        </xdr:cNvPr>
        <xdr:cNvCxnSpPr/>
      </xdr:nvCxnSpPr>
      <xdr:spPr>
        <a:xfrm>
          <a:off x="5381625" y="21555075"/>
          <a:ext cx="2000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209</xdr:row>
      <xdr:rowOff>28575</xdr:rowOff>
    </xdr:from>
    <xdr:to>
      <xdr:col>7</xdr:col>
      <xdr:colOff>885825</xdr:colOff>
      <xdr:row>209</xdr:row>
      <xdr:rowOff>28575</xdr:rowOff>
    </xdr:to>
    <xdr:cxnSp macro="">
      <xdr:nvCxnSpPr>
        <xdr:cNvPr id="4" name="Straight Connector 3">
          <a:extLst>
            <a:ext uri="{FF2B5EF4-FFF2-40B4-BE49-F238E27FC236}">
              <a16:creationId xmlns:a16="http://schemas.microsoft.com/office/drawing/2014/main" id="{56EEC852-B3A3-4D29-B038-A3854392BB79}"/>
            </a:ext>
          </a:extLst>
        </xdr:cNvPr>
        <xdr:cNvCxnSpPr/>
      </xdr:nvCxnSpPr>
      <xdr:spPr>
        <a:xfrm>
          <a:off x="3638550" y="18716625"/>
          <a:ext cx="19526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208</xdr:row>
      <xdr:rowOff>219075</xdr:rowOff>
    </xdr:from>
    <xdr:to>
      <xdr:col>10</xdr:col>
      <xdr:colOff>9525</xdr:colOff>
      <xdr:row>208</xdr:row>
      <xdr:rowOff>219075</xdr:rowOff>
    </xdr:to>
    <xdr:cxnSp macro="">
      <xdr:nvCxnSpPr>
        <xdr:cNvPr id="5" name="Straight Connector 4">
          <a:extLst>
            <a:ext uri="{FF2B5EF4-FFF2-40B4-BE49-F238E27FC236}">
              <a16:creationId xmlns:a16="http://schemas.microsoft.com/office/drawing/2014/main" id="{06C0BADC-EC72-4216-8399-0C15404EB803}"/>
            </a:ext>
          </a:extLst>
        </xdr:cNvPr>
        <xdr:cNvCxnSpPr/>
      </xdr:nvCxnSpPr>
      <xdr:spPr>
        <a:xfrm>
          <a:off x="5800725" y="18678525"/>
          <a:ext cx="403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1066800</xdr:colOff>
      <xdr:row>92</xdr:row>
      <xdr:rowOff>23006</xdr:rowOff>
    </xdr:from>
    <xdr:to>
      <xdr:col>7</xdr:col>
      <xdr:colOff>376429</xdr:colOff>
      <xdr:row>93</xdr:row>
      <xdr:rowOff>43962</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21244706"/>
          <a:ext cx="490729" cy="335281"/>
        </a:xfrm>
        <a:prstGeom prst="rect">
          <a:avLst/>
        </a:prstGeom>
      </xdr:spPr>
    </xdr:pic>
    <xdr:clientData/>
  </xdr:twoCellAnchor>
  <xdr:twoCellAnchor editAs="oneCell">
    <xdr:from>
      <xdr:col>8</xdr:col>
      <xdr:colOff>20927</xdr:colOff>
      <xdr:row>89</xdr:row>
      <xdr:rowOff>180975</xdr:rowOff>
    </xdr:from>
    <xdr:to>
      <xdr:col>9</xdr:col>
      <xdr:colOff>555092</xdr:colOff>
      <xdr:row>95</xdr:row>
      <xdr:rowOff>72393</xdr:rowOff>
    </xdr:to>
    <xdr:pic>
      <xdr:nvPicPr>
        <xdr:cNvPr id="8" name="Picture 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26327" y="20716875"/>
          <a:ext cx="1581915" cy="1348743"/>
        </a:xfrm>
        <a:prstGeom prst="rect">
          <a:avLst/>
        </a:prstGeom>
      </xdr:spPr>
    </xdr:pic>
    <xdr:clientData/>
  </xdr:twoCellAnchor>
  <xdr:twoCellAnchor editAs="oneCell">
    <xdr:from>
      <xdr:col>6</xdr:col>
      <xdr:colOff>800100</xdr:colOff>
      <xdr:row>207</xdr:row>
      <xdr:rowOff>80156</xdr:rowOff>
    </xdr:from>
    <xdr:to>
      <xdr:col>7</xdr:col>
      <xdr:colOff>109729</xdr:colOff>
      <xdr:row>208</xdr:row>
      <xdr:rowOff>186837</xdr:rowOff>
    </xdr:to>
    <xdr:pic>
      <xdr:nvPicPr>
        <xdr:cNvPr id="9" name="Picture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4275" y="36932381"/>
          <a:ext cx="490729" cy="335281"/>
        </a:xfrm>
        <a:prstGeom prst="rect">
          <a:avLst/>
        </a:prstGeom>
      </xdr:spPr>
    </xdr:pic>
    <xdr:clientData/>
  </xdr:twoCellAnchor>
  <xdr:twoCellAnchor editAs="oneCell">
    <xdr:from>
      <xdr:col>8</xdr:col>
      <xdr:colOff>135227</xdr:colOff>
      <xdr:row>205</xdr:row>
      <xdr:rowOff>104775</xdr:rowOff>
    </xdr:from>
    <xdr:to>
      <xdr:col>9</xdr:col>
      <xdr:colOff>669392</xdr:colOff>
      <xdr:row>211</xdr:row>
      <xdr:rowOff>81918</xdr:rowOff>
    </xdr:to>
    <xdr:pic>
      <xdr:nvPicPr>
        <xdr:cNvPr id="10" name="Picture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40627" y="36499800"/>
          <a:ext cx="1581915" cy="13487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38100</xdr:colOff>
      <xdr:row>0</xdr:row>
      <xdr:rowOff>28576</xdr:rowOff>
    </xdr:from>
    <xdr:ext cx="1353312" cy="1267387"/>
    <xdr:pic>
      <xdr:nvPicPr>
        <xdr:cNvPr id="2" name="Picture 1">
          <a:extLst>
            <a:ext uri="{FF2B5EF4-FFF2-40B4-BE49-F238E27FC236}">
              <a16:creationId xmlns:a16="http://schemas.microsoft.com/office/drawing/2014/main" id="{F350CB5D-20DE-43F2-A86E-8F5A4A5036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28576"/>
          <a:ext cx="1353312" cy="126738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2025\Annual-Budget-2025-Working-Folder%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ownloads\Annual-Budget-2025-%20FDP%20(Actual-Final)ja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Desktop\2025\Annual-Budget-2025%20(SB%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P NO. 1"/>
      <sheetName val="LBP NO. 2"/>
      <sheetName val="LBP NO. 2a"/>
      <sheetName val="LBP NO. 3a per office"/>
      <sheetName val="LBP No. 4"/>
      <sheetName val="LBP NO. 5"/>
      <sheetName val="LBP NO. 6"/>
      <sheetName val="PROPOSED BUDGET"/>
      <sheetName val="2024 Annual Budget"/>
      <sheetName val="SAAOB 2023"/>
      <sheetName val="SAAOB 2023-Sorted"/>
      <sheetName val="Jan-June '24"/>
    </sheetNames>
    <sheetDataSet>
      <sheetData sheetId="0"/>
      <sheetData sheetId="1">
        <row r="51">
          <cell r="K51">
            <v>0</v>
          </cell>
          <cell r="M51">
            <v>0</v>
          </cell>
        </row>
        <row r="149">
          <cell r="M149">
            <v>123540980.62</v>
          </cell>
        </row>
        <row r="359">
          <cell r="M359">
            <v>150000</v>
          </cell>
        </row>
        <row r="1148">
          <cell r="M1148">
            <v>0</v>
          </cell>
        </row>
        <row r="1155">
          <cell r="H1155" t="str">
            <v>5-01-02-990</v>
          </cell>
        </row>
        <row r="1157">
          <cell r="I1157">
            <v>3556</v>
          </cell>
          <cell r="M1157">
            <v>21336</v>
          </cell>
        </row>
        <row r="1178">
          <cell r="M1178">
            <v>0</v>
          </cell>
        </row>
        <row r="1183">
          <cell r="I1183">
            <v>0</v>
          </cell>
          <cell r="J1183">
            <v>0</v>
          </cell>
          <cell r="M1183">
            <v>0</v>
          </cell>
        </row>
        <row r="1188">
          <cell r="J1188">
            <v>0</v>
          </cell>
          <cell r="M1188">
            <v>0</v>
          </cell>
        </row>
        <row r="1189">
          <cell r="I1189">
            <v>0</v>
          </cell>
          <cell r="J1189">
            <v>0</v>
          </cell>
          <cell r="M1189">
            <v>0</v>
          </cell>
        </row>
        <row r="1190">
          <cell r="I1190">
            <v>0</v>
          </cell>
          <cell r="J1190">
            <v>0</v>
          </cell>
          <cell r="M1190">
            <v>0</v>
          </cell>
        </row>
      </sheetData>
      <sheetData sheetId="2">
        <row r="198">
          <cell r="G198">
            <v>309232951.04000002</v>
          </cell>
        </row>
      </sheetData>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1B-ABR Summary"/>
      <sheetName val="FORM1a-ABR Office"/>
      <sheetName val="summary"/>
    </sheetNames>
    <sheetDataSet>
      <sheetData sheetId="0" refreshError="1"/>
      <sheetData sheetId="1">
        <row r="869">
          <cell r="I869">
            <v>1498000</v>
          </cell>
        </row>
        <row r="872">
          <cell r="I872">
            <v>1990000</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O"/>
      <sheetName val="LBP NO. 1"/>
      <sheetName val="LBP NO. 1 (Market)-Orig"/>
      <sheetName val="LBP NO. 2-Orig"/>
      <sheetName val="Summary (2)-Orig"/>
    </sheetNames>
    <sheetDataSet>
      <sheetData sheetId="0" refreshError="1"/>
      <sheetData sheetId="1" refreshError="1"/>
      <sheetData sheetId="2" refreshError="1"/>
      <sheetData sheetId="3">
        <row r="48">
          <cell r="M48">
            <v>15946699</v>
          </cell>
        </row>
        <row r="489">
          <cell r="M489">
            <v>446000</v>
          </cell>
        </row>
        <row r="494">
          <cell r="M494">
            <v>0</v>
          </cell>
        </row>
        <row r="555">
          <cell r="M555">
            <v>3386695</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86"/>
  <sheetViews>
    <sheetView tabSelected="1" zoomScale="98" zoomScaleNormal="98" workbookViewId="0">
      <selection activeCell="N14" sqref="N14"/>
    </sheetView>
  </sheetViews>
  <sheetFormatPr defaultRowHeight="15"/>
  <cols>
    <col min="1" max="1" width="2.7109375" style="34" customWidth="1"/>
    <col min="2" max="2" width="3.140625" style="34" customWidth="1"/>
    <col min="3" max="3" width="1.7109375" style="34" customWidth="1"/>
    <col min="4" max="4" width="1.5703125" style="34" customWidth="1"/>
    <col min="5" max="5" width="1.7109375" style="34" customWidth="1"/>
    <col min="6" max="6" width="34.42578125" style="34" customWidth="1"/>
    <col min="7" max="7" width="4.85546875" style="34" hidden="1" customWidth="1"/>
    <col min="8" max="8" width="13.85546875" style="33" customWidth="1"/>
    <col min="9" max="9" width="14.85546875" style="33" customWidth="1"/>
    <col min="10" max="10" width="17.85546875" style="33" bestFit="1" customWidth="1"/>
    <col min="11" max="11" width="23.42578125" style="33" customWidth="1"/>
    <col min="12" max="12" width="21.140625" style="33" customWidth="1"/>
    <col min="13" max="13" width="15.7109375" style="33" customWidth="1"/>
    <col min="14" max="14" width="17.5703125" style="34" bestFit="1" customWidth="1"/>
    <col min="15" max="19" width="14" style="34" bestFit="1" customWidth="1"/>
    <col min="20" max="16384" width="9.140625" style="34"/>
  </cols>
  <sheetData>
    <row r="1" spans="1:13" s="81" customFormat="1" ht="15" customHeight="1">
      <c r="A1" s="237" t="s">
        <v>478</v>
      </c>
      <c r="B1" s="237"/>
      <c r="C1" s="237"/>
      <c r="D1" s="237"/>
      <c r="E1" s="237"/>
      <c r="F1" s="237"/>
      <c r="G1" s="237"/>
      <c r="H1" s="237"/>
      <c r="I1" s="237"/>
      <c r="J1" s="237"/>
      <c r="K1" s="237"/>
      <c r="L1" s="237"/>
      <c r="M1" s="237"/>
    </row>
    <row r="2" spans="1:13" s="81" customFormat="1" ht="15" customHeight="1">
      <c r="A2" s="237" t="s">
        <v>479</v>
      </c>
      <c r="B2" s="237"/>
      <c r="C2" s="237"/>
      <c r="D2" s="237"/>
      <c r="E2" s="237"/>
      <c r="F2" s="237"/>
      <c r="G2" s="237"/>
      <c r="H2" s="237"/>
      <c r="I2" s="237"/>
      <c r="J2" s="237"/>
      <c r="K2" s="237"/>
      <c r="L2" s="237"/>
      <c r="M2" s="237"/>
    </row>
    <row r="3" spans="1:13" s="81" customFormat="1" ht="15" customHeight="1">
      <c r="A3" s="237" t="s">
        <v>480</v>
      </c>
      <c r="B3" s="237"/>
      <c r="C3" s="237"/>
      <c r="D3" s="237"/>
      <c r="E3" s="237"/>
      <c r="F3" s="237"/>
      <c r="G3" s="237"/>
      <c r="H3" s="237"/>
      <c r="I3" s="237"/>
      <c r="J3" s="237"/>
      <c r="K3" s="237"/>
      <c r="L3" s="237"/>
      <c r="M3" s="237"/>
    </row>
    <row r="4" spans="1:13" s="81" customFormat="1" ht="15" customHeight="1">
      <c r="A4" s="237"/>
      <c r="B4" s="237"/>
      <c r="C4" s="237"/>
      <c r="D4" s="237"/>
      <c r="E4" s="237"/>
      <c r="F4" s="237"/>
      <c r="G4" s="237"/>
      <c r="H4" s="237"/>
      <c r="I4" s="237"/>
      <c r="J4" s="237"/>
      <c r="K4" s="237"/>
      <c r="L4" s="237"/>
      <c r="M4" s="237"/>
    </row>
    <row r="5" spans="1:13" s="81" customFormat="1" ht="15" customHeight="1">
      <c r="A5" s="237"/>
      <c r="B5" s="237"/>
      <c r="C5" s="237"/>
      <c r="D5" s="237"/>
      <c r="E5" s="237"/>
      <c r="F5" s="237"/>
      <c r="G5" s="237"/>
      <c r="H5" s="237"/>
      <c r="I5" s="237"/>
      <c r="J5" s="237"/>
      <c r="K5" s="237"/>
      <c r="L5" s="237"/>
      <c r="M5" s="237"/>
    </row>
    <row r="6" spans="1:13" s="81" customFormat="1" ht="15" customHeight="1">
      <c r="A6" s="237"/>
      <c r="B6" s="237"/>
      <c r="C6" s="237"/>
      <c r="D6" s="237"/>
      <c r="E6" s="237"/>
      <c r="F6" s="237"/>
      <c r="G6" s="237"/>
      <c r="H6" s="237"/>
      <c r="I6" s="237"/>
      <c r="J6" s="237"/>
      <c r="K6" s="237"/>
      <c r="L6" s="237"/>
      <c r="M6" s="237"/>
    </row>
    <row r="7" spans="1:13" s="81" customFormat="1" ht="15.75">
      <c r="A7" s="399" t="s">
        <v>481</v>
      </c>
      <c r="B7" s="399"/>
      <c r="C7" s="399"/>
      <c r="D7" s="399"/>
      <c r="E7" s="399"/>
      <c r="F7" s="399"/>
      <c r="G7" s="399"/>
      <c r="H7" s="399"/>
      <c r="I7" s="399"/>
      <c r="J7" s="399"/>
      <c r="K7" s="399"/>
      <c r="L7" s="399"/>
      <c r="M7" s="399"/>
    </row>
    <row r="8" spans="1:13" s="81" customFormat="1" ht="18" customHeight="1">
      <c r="A8" s="238"/>
      <c r="B8" s="238"/>
      <c r="C8" s="238"/>
      <c r="D8" s="238"/>
      <c r="E8" s="238"/>
      <c r="F8" s="238"/>
      <c r="G8" s="238"/>
      <c r="H8" s="238"/>
      <c r="I8" s="238"/>
      <c r="J8" s="238"/>
      <c r="K8" s="238"/>
      <c r="L8" s="238"/>
      <c r="M8" s="238"/>
    </row>
    <row r="9" spans="1:13" s="81" customFormat="1" ht="15.75">
      <c r="A9" s="238" t="s">
        <v>482</v>
      </c>
      <c r="B9" s="238"/>
      <c r="C9" s="238"/>
      <c r="D9" s="239"/>
      <c r="E9" s="239"/>
      <c r="F9" s="238" t="s">
        <v>483</v>
      </c>
      <c r="G9" s="238"/>
      <c r="H9" s="238"/>
      <c r="I9" s="238"/>
      <c r="J9" s="238" t="s">
        <v>484</v>
      </c>
      <c r="K9" s="240" t="s">
        <v>528</v>
      </c>
      <c r="L9" s="238"/>
      <c r="M9" s="238"/>
    </row>
    <row r="10" spans="1:13" s="81" customFormat="1" ht="15.75">
      <c r="A10" s="238" t="s">
        <v>485</v>
      </c>
      <c r="B10" s="238"/>
      <c r="C10" s="238"/>
      <c r="D10" s="239"/>
      <c r="E10" s="238"/>
      <c r="F10" s="238" t="s">
        <v>486</v>
      </c>
      <c r="G10" s="238"/>
      <c r="H10" s="238"/>
      <c r="I10" s="238"/>
      <c r="J10" s="238" t="s">
        <v>487</v>
      </c>
      <c r="K10" s="94" t="s">
        <v>488</v>
      </c>
      <c r="L10" s="238"/>
      <c r="M10" s="238"/>
    </row>
    <row r="11" spans="1:13" s="81" customFormat="1" ht="15.75">
      <c r="A11" s="238" t="s">
        <v>489</v>
      </c>
      <c r="B11" s="238"/>
      <c r="C11" s="238"/>
      <c r="D11" s="238"/>
      <c r="E11" s="238"/>
      <c r="F11" s="238"/>
      <c r="G11" s="238"/>
      <c r="H11" s="238"/>
      <c r="I11" s="238"/>
      <c r="J11" s="238"/>
      <c r="K11" s="238"/>
      <c r="L11" s="238"/>
      <c r="M11" s="238"/>
    </row>
    <row r="12" spans="1:13" s="81" customFormat="1" ht="8.1" customHeight="1">
      <c r="A12" s="85" t="s">
        <v>372</v>
      </c>
      <c r="G12" s="82"/>
      <c r="I12" s="83"/>
      <c r="L12" s="84"/>
      <c r="M12" s="84"/>
    </row>
    <row r="13" spans="1:13" ht="3" customHeight="1" thickBot="1">
      <c r="A13" s="403"/>
      <c r="B13" s="403"/>
      <c r="C13" s="403"/>
      <c r="D13" s="403"/>
      <c r="E13" s="403"/>
      <c r="F13" s="403"/>
      <c r="G13" s="403"/>
      <c r="H13" s="403"/>
      <c r="I13" s="403"/>
      <c r="J13" s="403"/>
      <c r="K13" s="403"/>
      <c r="L13" s="403"/>
      <c r="M13" s="403"/>
    </row>
    <row r="14" spans="1:13" s="97" customFormat="1" ht="18" customHeight="1">
      <c r="A14" s="192"/>
      <c r="B14" s="193"/>
      <c r="C14" s="193"/>
      <c r="D14" s="193"/>
      <c r="E14" s="193"/>
      <c r="F14" s="194"/>
      <c r="G14" s="195"/>
      <c r="H14" s="196"/>
      <c r="I14" s="196" t="s">
        <v>3</v>
      </c>
      <c r="J14" s="394" t="s">
        <v>188</v>
      </c>
      <c r="K14" s="395"/>
      <c r="L14" s="396"/>
      <c r="M14" s="197" t="s">
        <v>4</v>
      </c>
    </row>
    <row r="15" spans="1:13" s="97" customFormat="1" ht="18" customHeight="1">
      <c r="A15" s="388"/>
      <c r="B15" s="389"/>
      <c r="C15" s="389"/>
      <c r="D15" s="389"/>
      <c r="E15" s="389"/>
      <c r="F15" s="390"/>
      <c r="G15" s="199"/>
      <c r="H15" s="200"/>
      <c r="I15" s="200">
        <v>2023</v>
      </c>
      <c r="J15" s="200" t="s">
        <v>137</v>
      </c>
      <c r="K15" s="200" t="s">
        <v>138</v>
      </c>
      <c r="L15" s="200">
        <v>2024</v>
      </c>
      <c r="M15" s="201">
        <v>2025</v>
      </c>
    </row>
    <row r="16" spans="1:13" s="97" customFormat="1" ht="18" customHeight="1">
      <c r="A16" s="388" t="s">
        <v>8</v>
      </c>
      <c r="B16" s="389"/>
      <c r="C16" s="389"/>
      <c r="D16" s="389"/>
      <c r="E16" s="389"/>
      <c r="F16" s="390"/>
      <c r="G16" s="202"/>
      <c r="H16" s="203" t="s">
        <v>186</v>
      </c>
      <c r="I16" s="200" t="s">
        <v>311</v>
      </c>
      <c r="J16" s="200" t="s">
        <v>136</v>
      </c>
      <c r="K16" s="200" t="s">
        <v>139</v>
      </c>
      <c r="L16" s="200" t="s">
        <v>311</v>
      </c>
      <c r="M16" s="201" t="s">
        <v>311</v>
      </c>
    </row>
    <row r="17" spans="1:22" s="97" customFormat="1" ht="18" customHeight="1">
      <c r="A17" s="204"/>
      <c r="B17" s="99"/>
      <c r="C17" s="99"/>
      <c r="D17" s="99"/>
      <c r="E17" s="99"/>
      <c r="F17" s="205"/>
      <c r="G17" s="202"/>
      <c r="H17" s="200"/>
      <c r="I17" s="200" t="s">
        <v>136</v>
      </c>
      <c r="J17" s="200">
        <v>2024</v>
      </c>
      <c r="K17" s="200">
        <v>2024</v>
      </c>
      <c r="L17" s="200" t="s">
        <v>312</v>
      </c>
      <c r="M17" s="201" t="s">
        <v>140</v>
      </c>
    </row>
    <row r="18" spans="1:22" s="97" customFormat="1" ht="18" customHeight="1" thickBot="1">
      <c r="A18" s="391"/>
      <c r="B18" s="392"/>
      <c r="C18" s="392"/>
      <c r="D18" s="392"/>
      <c r="E18" s="392"/>
      <c r="F18" s="393"/>
      <c r="G18" s="206"/>
      <c r="H18" s="207"/>
      <c r="I18" s="207"/>
      <c r="J18" s="207"/>
      <c r="K18" s="207"/>
      <c r="L18" s="207"/>
      <c r="M18" s="208"/>
    </row>
    <row r="19" spans="1:22" s="97" customFormat="1" ht="18" customHeight="1">
      <c r="A19" s="209"/>
      <c r="B19" s="210" t="s">
        <v>51</v>
      </c>
      <c r="C19" s="211"/>
      <c r="D19" s="210"/>
      <c r="E19" s="210"/>
      <c r="F19" s="212"/>
      <c r="G19" s="213"/>
      <c r="H19" s="214"/>
      <c r="I19" s="215"/>
      <c r="J19" s="36"/>
      <c r="K19" s="36"/>
      <c r="L19" s="36"/>
      <c r="M19" s="36"/>
    </row>
    <row r="20" spans="1:22" s="97" customFormat="1" ht="18" customHeight="1">
      <c r="A20" s="133"/>
      <c r="B20" s="127"/>
      <c r="C20" s="127" t="s">
        <v>102</v>
      </c>
      <c r="D20" s="127"/>
      <c r="E20" s="127"/>
      <c r="F20" s="128"/>
      <c r="G20" s="129"/>
      <c r="H20" s="134"/>
      <c r="I20" s="216"/>
      <c r="J20" s="38"/>
      <c r="K20" s="38"/>
      <c r="L20" s="38"/>
      <c r="M20" s="38"/>
    </row>
    <row r="21" spans="1:22" s="97" customFormat="1" ht="18" customHeight="1">
      <c r="A21" s="133"/>
      <c r="B21" s="127"/>
      <c r="C21" s="127"/>
      <c r="D21" s="127" t="s">
        <v>103</v>
      </c>
      <c r="E21" s="127"/>
      <c r="F21" s="128"/>
      <c r="G21" s="129" t="s">
        <v>156</v>
      </c>
      <c r="H21" s="130" t="s">
        <v>196</v>
      </c>
      <c r="I21" s="135">
        <v>5657097</v>
      </c>
      <c r="J21" s="136">
        <v>2647620</v>
      </c>
      <c r="K21" s="39">
        <f>5705485-J21</f>
        <v>3057865</v>
      </c>
      <c r="L21" s="39">
        <f>SUM(K21+J21)</f>
        <v>5705485</v>
      </c>
      <c r="M21" s="39">
        <v>6299707</v>
      </c>
      <c r="N21" s="136"/>
      <c r="O21" s="136"/>
      <c r="P21" s="136"/>
      <c r="Q21" s="136"/>
      <c r="R21" s="136"/>
    </row>
    <row r="22" spans="1:22" s="97" customFormat="1" ht="18" customHeight="1">
      <c r="A22" s="133"/>
      <c r="B22" s="127"/>
      <c r="C22" s="127"/>
      <c r="D22" s="127" t="s">
        <v>90</v>
      </c>
      <c r="E22" s="127"/>
      <c r="F22" s="128"/>
      <c r="G22" s="129"/>
      <c r="H22" s="130" t="s">
        <v>198</v>
      </c>
      <c r="I22" s="135">
        <v>1411386.37</v>
      </c>
      <c r="J22" s="217">
        <v>861900</v>
      </c>
      <c r="K22" s="39">
        <f>1753115-J22</f>
        <v>891215</v>
      </c>
      <c r="L22" s="39">
        <f>SUM(K22+J22)</f>
        <v>1753115</v>
      </c>
      <c r="M22" s="39">
        <v>2368576</v>
      </c>
      <c r="N22" s="136"/>
      <c r="O22" s="136"/>
      <c r="P22" s="136"/>
      <c r="Q22" s="136"/>
    </row>
    <row r="23" spans="1:22" s="97" customFormat="1" ht="18" customHeight="1">
      <c r="A23" s="133"/>
      <c r="B23" s="127"/>
      <c r="C23" s="127" t="s">
        <v>104</v>
      </c>
      <c r="D23" s="127"/>
      <c r="E23" s="127"/>
      <c r="F23" s="128"/>
      <c r="G23" s="129"/>
      <c r="H23" s="137"/>
      <c r="I23" s="135"/>
      <c r="J23" s="39"/>
      <c r="K23" s="39"/>
      <c r="L23" s="39"/>
      <c r="M23" s="39"/>
    </row>
    <row r="24" spans="1:22" s="97" customFormat="1" ht="18" customHeight="1">
      <c r="A24" s="133"/>
      <c r="B24" s="127"/>
      <c r="C24" s="127"/>
      <c r="D24" s="127" t="s">
        <v>105</v>
      </c>
      <c r="E24" s="127"/>
      <c r="F24" s="128"/>
      <c r="G24" s="129" t="s">
        <v>157</v>
      </c>
      <c r="H24" s="130" t="s">
        <v>197</v>
      </c>
      <c r="I24" s="135">
        <v>707909.09</v>
      </c>
      <c r="J24" s="39">
        <v>348000</v>
      </c>
      <c r="K24" s="39">
        <f>744000-J24</f>
        <v>396000</v>
      </c>
      <c r="L24" s="39">
        <f t="shared" ref="L24:L41" si="0">SUM(K24+J24)</f>
        <v>744000</v>
      </c>
      <c r="M24" s="39">
        <v>816000</v>
      </c>
      <c r="N24" s="136"/>
      <c r="O24" s="136"/>
      <c r="P24" s="136"/>
      <c r="Q24" s="136"/>
    </row>
    <row r="25" spans="1:22" s="97" customFormat="1" ht="18" customHeight="1">
      <c r="A25" s="133"/>
      <c r="B25" s="127"/>
      <c r="C25" s="127"/>
      <c r="D25" s="127" t="s">
        <v>107</v>
      </c>
      <c r="E25" s="127"/>
      <c r="F25" s="128"/>
      <c r="G25" s="129" t="s">
        <v>158</v>
      </c>
      <c r="H25" s="130" t="s">
        <v>198</v>
      </c>
      <c r="I25" s="135">
        <v>91800</v>
      </c>
      <c r="J25" s="39">
        <v>51000</v>
      </c>
      <c r="K25" s="39">
        <f>102000-J25</f>
        <v>51000</v>
      </c>
      <c r="L25" s="39">
        <f t="shared" si="0"/>
        <v>102000</v>
      </c>
      <c r="M25" s="39">
        <v>102000</v>
      </c>
      <c r="N25" s="136"/>
      <c r="O25" s="136"/>
      <c r="P25" s="136"/>
      <c r="Q25" s="136"/>
      <c r="R25" s="136"/>
      <c r="S25" s="136"/>
      <c r="T25" s="136"/>
      <c r="U25" s="136"/>
      <c r="V25" s="136"/>
    </row>
    <row r="26" spans="1:22" s="97" customFormat="1" ht="18" customHeight="1">
      <c r="A26" s="133"/>
      <c r="B26" s="127"/>
      <c r="C26" s="127"/>
      <c r="D26" s="127" t="s">
        <v>106</v>
      </c>
      <c r="E26" s="127"/>
      <c r="F26" s="128"/>
      <c r="G26" s="129" t="s">
        <v>159</v>
      </c>
      <c r="H26" s="130" t="s">
        <v>199</v>
      </c>
      <c r="I26" s="135"/>
      <c r="J26" s="39"/>
      <c r="K26" s="39">
        <f>102000-J26</f>
        <v>102000</v>
      </c>
      <c r="L26" s="39">
        <f t="shared" si="0"/>
        <v>102000</v>
      </c>
      <c r="M26" s="39">
        <v>102000</v>
      </c>
      <c r="N26" s="136"/>
      <c r="O26" s="136"/>
      <c r="P26" s="136"/>
      <c r="Q26" s="136"/>
    </row>
    <row r="27" spans="1:22" s="97" customFormat="1" ht="18" customHeight="1">
      <c r="A27" s="133"/>
      <c r="B27" s="127"/>
      <c r="C27" s="127"/>
      <c r="D27" s="127" t="s">
        <v>108</v>
      </c>
      <c r="E27" s="127"/>
      <c r="F27" s="128"/>
      <c r="G27" s="129" t="s">
        <v>160</v>
      </c>
      <c r="H27" s="130" t="s">
        <v>200</v>
      </c>
      <c r="I27" s="135">
        <v>174000</v>
      </c>
      <c r="J27" s="39">
        <v>201000</v>
      </c>
      <c r="K27" s="39">
        <f>216000-J27</f>
        <v>15000</v>
      </c>
      <c r="L27" s="39">
        <f t="shared" si="0"/>
        <v>216000</v>
      </c>
      <c r="M27" s="39">
        <v>238000</v>
      </c>
      <c r="N27" s="136"/>
      <c r="O27" s="136"/>
      <c r="P27" s="136"/>
      <c r="Q27" s="136"/>
    </row>
    <row r="28" spans="1:22" s="97" customFormat="1" ht="18" customHeight="1">
      <c r="A28" s="133"/>
      <c r="B28" s="127"/>
      <c r="C28" s="127"/>
      <c r="D28" s="127" t="s">
        <v>194</v>
      </c>
      <c r="E28" s="127"/>
      <c r="F28" s="128"/>
      <c r="G28" s="129" t="s">
        <v>162</v>
      </c>
      <c r="H28" s="130" t="s">
        <v>201</v>
      </c>
      <c r="I28" s="135">
        <v>145000</v>
      </c>
      <c r="J28" s="39"/>
      <c r="K28" s="39">
        <f>155000-J28</f>
        <v>155000</v>
      </c>
      <c r="L28" s="39">
        <f t="shared" si="0"/>
        <v>155000</v>
      </c>
      <c r="M28" s="39">
        <v>170000</v>
      </c>
      <c r="N28" s="136"/>
      <c r="O28" s="136"/>
      <c r="P28" s="136"/>
      <c r="Q28" s="136"/>
    </row>
    <row r="29" spans="1:22" s="97" customFormat="1" ht="18" customHeight="1">
      <c r="A29" s="133"/>
      <c r="B29" s="127"/>
      <c r="C29" s="127"/>
      <c r="D29" s="127" t="s">
        <v>110</v>
      </c>
      <c r="E29" s="127"/>
      <c r="F29" s="128"/>
      <c r="G29" s="129" t="s">
        <v>92</v>
      </c>
      <c r="H29" s="130" t="s">
        <v>202</v>
      </c>
      <c r="I29" s="135">
        <v>10000</v>
      </c>
      <c r="J29" s="39">
        <v>15000</v>
      </c>
      <c r="K29" s="39">
        <f>15000-J29</f>
        <v>0</v>
      </c>
      <c r="L29" s="39">
        <f t="shared" si="0"/>
        <v>15000</v>
      </c>
      <c r="M29" s="39">
        <v>5000</v>
      </c>
      <c r="N29" s="136"/>
      <c r="O29" s="136"/>
      <c r="P29" s="136"/>
      <c r="Q29" s="136"/>
    </row>
    <row r="30" spans="1:22" s="97" customFormat="1" ht="18" customHeight="1">
      <c r="A30" s="133"/>
      <c r="B30" s="127"/>
      <c r="C30" s="127"/>
      <c r="D30" s="127" t="s">
        <v>421</v>
      </c>
      <c r="E30" s="127"/>
      <c r="F30" s="128"/>
      <c r="G30" s="129"/>
      <c r="H30" s="130" t="s">
        <v>202</v>
      </c>
      <c r="I30" s="135"/>
      <c r="J30" s="39"/>
      <c r="K30" s="39">
        <f>0-J30</f>
        <v>0</v>
      </c>
      <c r="L30" s="39">
        <f t="shared" si="0"/>
        <v>0</v>
      </c>
      <c r="M30" s="39">
        <v>238000</v>
      </c>
      <c r="N30" s="136"/>
      <c r="O30" s="136"/>
      <c r="P30" s="136"/>
      <c r="Q30" s="136"/>
    </row>
    <row r="31" spans="1:22" s="97" customFormat="1" ht="17.25" customHeight="1">
      <c r="A31" s="133"/>
      <c r="B31" s="127"/>
      <c r="C31" s="127"/>
      <c r="D31" s="127" t="s">
        <v>422</v>
      </c>
      <c r="E31" s="127"/>
      <c r="F31" s="128"/>
      <c r="G31" s="129"/>
      <c r="H31" s="130" t="s">
        <v>202</v>
      </c>
      <c r="I31" s="135">
        <v>0</v>
      </c>
      <c r="J31" s="39"/>
      <c r="K31" s="39">
        <f>3000000-J31</f>
        <v>3000000</v>
      </c>
      <c r="L31" s="39">
        <f>SUM(K31+J31)</f>
        <v>3000000</v>
      </c>
      <c r="M31" s="39">
        <v>0</v>
      </c>
      <c r="N31" s="136"/>
      <c r="O31" s="136"/>
      <c r="P31" s="136"/>
      <c r="Q31" s="136"/>
    </row>
    <row r="32" spans="1:22" s="97" customFormat="1" ht="18" customHeight="1">
      <c r="A32" s="133"/>
      <c r="B32" s="127"/>
      <c r="C32" s="127"/>
      <c r="D32" s="127" t="s">
        <v>52</v>
      </c>
      <c r="E32" s="127"/>
      <c r="F32" s="128"/>
      <c r="G32" s="129"/>
      <c r="H32" s="130" t="s">
        <v>219</v>
      </c>
      <c r="I32" s="135">
        <v>0</v>
      </c>
      <c r="J32" s="39"/>
      <c r="K32" s="39">
        <f>75000-J32</f>
        <v>75000</v>
      </c>
      <c r="L32" s="39">
        <f t="shared" si="0"/>
        <v>75000</v>
      </c>
      <c r="M32" s="39">
        <v>100000</v>
      </c>
      <c r="N32" s="136"/>
      <c r="O32" s="136"/>
      <c r="P32" s="136"/>
      <c r="Q32" s="136"/>
    </row>
    <row r="33" spans="1:17" s="97" customFormat="1" ht="18" customHeight="1">
      <c r="A33" s="133"/>
      <c r="B33" s="127"/>
      <c r="C33" s="127"/>
      <c r="D33" s="127" t="s">
        <v>112</v>
      </c>
      <c r="E33" s="127"/>
      <c r="F33" s="128"/>
      <c r="G33" s="129" t="s">
        <v>165</v>
      </c>
      <c r="H33" s="130" t="s">
        <v>203</v>
      </c>
      <c r="I33" s="135">
        <v>142000</v>
      </c>
      <c r="J33" s="39"/>
      <c r="K33" s="39">
        <f>155000-J33</f>
        <v>155000</v>
      </c>
      <c r="L33" s="39">
        <f t="shared" si="0"/>
        <v>155000</v>
      </c>
      <c r="M33" s="39">
        <v>170000</v>
      </c>
      <c r="N33" s="136"/>
      <c r="O33" s="136"/>
      <c r="P33" s="136"/>
      <c r="Q33" s="136"/>
    </row>
    <row r="34" spans="1:17" s="97" customFormat="1" ht="18" customHeight="1">
      <c r="A34" s="133"/>
      <c r="B34" s="127"/>
      <c r="C34" s="127"/>
      <c r="D34" s="127" t="s">
        <v>252</v>
      </c>
      <c r="E34" s="127"/>
      <c r="F34" s="127"/>
      <c r="G34" s="138" t="s">
        <v>92</v>
      </c>
      <c r="H34" s="130" t="s">
        <v>202</v>
      </c>
      <c r="I34" s="135">
        <v>575095</v>
      </c>
      <c r="J34" s="39">
        <v>584920</v>
      </c>
      <c r="K34" s="39">
        <f>608446-J34</f>
        <v>23526</v>
      </c>
      <c r="L34" s="39">
        <f t="shared" si="0"/>
        <v>608446</v>
      </c>
      <c r="M34" s="39">
        <v>711074</v>
      </c>
      <c r="N34" s="136"/>
      <c r="O34" s="136"/>
      <c r="P34" s="136"/>
      <c r="Q34" s="136"/>
    </row>
    <row r="35" spans="1:17" s="97" customFormat="1" ht="18" customHeight="1">
      <c r="A35" s="133"/>
      <c r="B35" s="127"/>
      <c r="C35" s="127"/>
      <c r="D35" s="127" t="s">
        <v>354</v>
      </c>
      <c r="E35" s="127"/>
      <c r="F35" s="127"/>
      <c r="G35" s="138"/>
      <c r="H35" s="130" t="s">
        <v>202</v>
      </c>
      <c r="I35" s="135"/>
      <c r="J35" s="39"/>
      <c r="K35" s="39">
        <f>0-J35</f>
        <v>0</v>
      </c>
      <c r="L35" s="39">
        <f t="shared" si="0"/>
        <v>0</v>
      </c>
      <c r="M35" s="39">
        <v>0</v>
      </c>
      <c r="N35" s="136"/>
      <c r="O35" s="136"/>
      <c r="P35" s="136"/>
      <c r="Q35" s="136"/>
    </row>
    <row r="36" spans="1:17" s="97" customFormat="1" ht="18" customHeight="1">
      <c r="A36" s="133"/>
      <c r="B36" s="127"/>
      <c r="C36" s="127"/>
      <c r="D36" s="127" t="s">
        <v>113</v>
      </c>
      <c r="E36" s="127"/>
      <c r="F36" s="128"/>
      <c r="G36" s="129" t="s">
        <v>166</v>
      </c>
      <c r="H36" s="130" t="s">
        <v>204</v>
      </c>
      <c r="I36" s="135">
        <v>573870</v>
      </c>
      <c r="J36" s="39"/>
      <c r="K36" s="39">
        <f>635559-J36</f>
        <v>635559</v>
      </c>
      <c r="L36" s="39">
        <f t="shared" si="0"/>
        <v>635559</v>
      </c>
      <c r="M36" s="39">
        <v>744342</v>
      </c>
      <c r="N36" s="136"/>
      <c r="O36" s="136"/>
      <c r="P36" s="136"/>
      <c r="Q36" s="136"/>
    </row>
    <row r="37" spans="1:17" s="97" customFormat="1" ht="18" customHeight="1">
      <c r="A37" s="133"/>
      <c r="B37" s="127"/>
      <c r="C37" s="127"/>
      <c r="D37" s="127" t="s">
        <v>190</v>
      </c>
      <c r="E37" s="127"/>
      <c r="F37" s="128"/>
      <c r="G37" s="129" t="s">
        <v>167</v>
      </c>
      <c r="H37" s="130" t="s">
        <v>205</v>
      </c>
      <c r="I37" s="135">
        <f>834323.64+41918.45</f>
        <v>876242.09</v>
      </c>
      <c r="J37" s="39">
        <v>364212</v>
      </c>
      <c r="K37" s="39">
        <f>896988.71-J37</f>
        <v>532776.71</v>
      </c>
      <c r="L37" s="39">
        <f t="shared" si="0"/>
        <v>896988.71</v>
      </c>
      <c r="M37" s="39">
        <v>1040800</v>
      </c>
      <c r="N37" s="136"/>
      <c r="O37" s="136"/>
      <c r="P37" s="136"/>
      <c r="Q37" s="136"/>
    </row>
    <row r="38" spans="1:17" s="97" customFormat="1" ht="18" customHeight="1">
      <c r="A38" s="133"/>
      <c r="B38" s="127"/>
      <c r="C38" s="127"/>
      <c r="D38" s="127" t="s">
        <v>114</v>
      </c>
      <c r="E38" s="127"/>
      <c r="F38" s="128"/>
      <c r="G38" s="129" t="s">
        <v>168</v>
      </c>
      <c r="H38" s="130" t="s">
        <v>206</v>
      </c>
      <c r="I38" s="135">
        <f>32900+3000</f>
        <v>35900</v>
      </c>
      <c r="J38" s="39">
        <v>27000</v>
      </c>
      <c r="K38" s="39">
        <f>75000-J38</f>
        <v>48000</v>
      </c>
      <c r="L38" s="39">
        <f t="shared" si="0"/>
        <v>75000</v>
      </c>
      <c r="M38" s="39">
        <v>81600</v>
      </c>
      <c r="N38" s="136"/>
      <c r="O38" s="136"/>
      <c r="P38" s="136"/>
      <c r="Q38" s="136"/>
    </row>
    <row r="39" spans="1:17" s="97" customFormat="1" ht="18" customHeight="1">
      <c r="A39" s="133"/>
      <c r="B39" s="127"/>
      <c r="C39" s="127"/>
      <c r="D39" s="127" t="s">
        <v>115</v>
      </c>
      <c r="E39" s="127"/>
      <c r="F39" s="128"/>
      <c r="G39" s="129" t="s">
        <v>169</v>
      </c>
      <c r="H39" s="130" t="s">
        <v>207</v>
      </c>
      <c r="I39" s="135">
        <v>134385</v>
      </c>
      <c r="J39" s="39">
        <v>72837.009999999995</v>
      </c>
      <c r="K39" s="39">
        <f>187500-J39</f>
        <v>114662.99</v>
      </c>
      <c r="L39" s="39">
        <f t="shared" si="0"/>
        <v>187500</v>
      </c>
      <c r="M39" s="39">
        <v>218800</v>
      </c>
      <c r="N39" s="136"/>
      <c r="O39" s="136"/>
      <c r="P39" s="136"/>
      <c r="Q39" s="136"/>
    </row>
    <row r="40" spans="1:17" s="97" customFormat="1" ht="18" customHeight="1">
      <c r="A40" s="133"/>
      <c r="B40" s="127"/>
      <c r="C40" s="127"/>
      <c r="D40" s="127" t="s">
        <v>189</v>
      </c>
      <c r="E40" s="127"/>
      <c r="F40" s="128"/>
      <c r="G40" s="129" t="s">
        <v>170</v>
      </c>
      <c r="H40" s="130" t="s">
        <v>208</v>
      </c>
      <c r="I40" s="135">
        <f>35900+1300</f>
        <v>37200</v>
      </c>
      <c r="J40" s="39">
        <v>15500</v>
      </c>
      <c r="K40" s="39">
        <f>37200-J40</f>
        <v>21700</v>
      </c>
      <c r="L40" s="39">
        <f t="shared" si="0"/>
        <v>37200</v>
      </c>
      <c r="M40" s="39">
        <v>40800</v>
      </c>
      <c r="N40" s="136"/>
      <c r="O40" s="136"/>
      <c r="P40" s="136"/>
      <c r="Q40" s="136"/>
    </row>
    <row r="41" spans="1:17" s="97" customFormat="1" ht="18" customHeight="1">
      <c r="A41" s="133"/>
      <c r="B41" s="127"/>
      <c r="C41" s="127"/>
      <c r="D41" s="127" t="s">
        <v>54</v>
      </c>
      <c r="E41" s="127"/>
      <c r="F41" s="128"/>
      <c r="G41" s="129" t="s">
        <v>171</v>
      </c>
      <c r="H41" s="130" t="s">
        <v>209</v>
      </c>
      <c r="I41" s="135">
        <v>0</v>
      </c>
      <c r="J41" s="39"/>
      <c r="K41" s="39">
        <f>186265.85-J41</f>
        <v>186265.85</v>
      </c>
      <c r="L41" s="39">
        <f t="shared" si="0"/>
        <v>186265.85</v>
      </c>
      <c r="M41" s="39">
        <v>2500000</v>
      </c>
      <c r="N41" s="136"/>
      <c r="O41" s="136"/>
      <c r="P41" s="136"/>
      <c r="Q41" s="136"/>
    </row>
    <row r="42" spans="1:17" s="97" customFormat="1" ht="18" customHeight="1">
      <c r="A42" s="133"/>
      <c r="B42" s="127"/>
      <c r="C42" s="127"/>
      <c r="D42" s="127" t="s">
        <v>117</v>
      </c>
      <c r="E42" s="127"/>
      <c r="F42" s="128"/>
      <c r="G42" s="129" t="s">
        <v>67</v>
      </c>
      <c r="H42" s="130" t="s">
        <v>220</v>
      </c>
      <c r="I42" s="135">
        <v>0</v>
      </c>
      <c r="J42" s="39">
        <v>1210916.95</v>
      </c>
      <c r="K42" s="39">
        <f>1210916.95-J42</f>
        <v>0</v>
      </c>
      <c r="L42" s="39">
        <f t="shared" ref="L42:L44" si="1">SUM(K42+J42)</f>
        <v>1210916.95</v>
      </c>
      <c r="M42" s="39">
        <v>0</v>
      </c>
      <c r="N42" s="136"/>
      <c r="O42" s="136"/>
      <c r="P42" s="136"/>
      <c r="Q42" s="136"/>
    </row>
    <row r="43" spans="1:17" s="97" customFormat="1" ht="18" customHeight="1">
      <c r="A43" s="133"/>
      <c r="B43" s="127"/>
      <c r="C43" s="127"/>
      <c r="D43" s="127" t="s">
        <v>343</v>
      </c>
      <c r="E43" s="127"/>
      <c r="F43" s="128"/>
      <c r="G43" s="129"/>
      <c r="H43" s="130" t="s">
        <v>220</v>
      </c>
      <c r="I43" s="135">
        <v>1040000</v>
      </c>
      <c r="J43" s="39"/>
      <c r="K43" s="39">
        <f>570000-J43</f>
        <v>570000</v>
      </c>
      <c r="L43" s="39">
        <f t="shared" si="1"/>
        <v>570000</v>
      </c>
      <c r="M43" s="39">
        <v>0</v>
      </c>
      <c r="N43" s="136"/>
      <c r="O43" s="136"/>
      <c r="P43" s="136"/>
      <c r="Q43" s="136"/>
    </row>
    <row r="44" spans="1:17" s="97" customFormat="1" ht="18" customHeight="1">
      <c r="A44" s="133"/>
      <c r="B44" s="127"/>
      <c r="C44" s="127"/>
      <c r="D44" s="191" t="s">
        <v>423</v>
      </c>
      <c r="E44" s="127"/>
      <c r="F44" s="128"/>
      <c r="G44" s="129"/>
      <c r="H44" s="130" t="s">
        <v>220</v>
      </c>
      <c r="I44" s="135">
        <v>922500</v>
      </c>
      <c r="J44" s="39"/>
      <c r="K44" s="39">
        <f>950000-J44</f>
        <v>950000</v>
      </c>
      <c r="L44" s="39">
        <f t="shared" si="1"/>
        <v>950000</v>
      </c>
      <c r="M44" s="39">
        <v>0</v>
      </c>
      <c r="N44" s="136"/>
      <c r="O44" s="136"/>
      <c r="P44" s="136"/>
      <c r="Q44" s="136"/>
    </row>
    <row r="45" spans="1:17" s="144" customFormat="1" ht="18" customHeight="1">
      <c r="A45" s="139"/>
      <c r="B45" s="140"/>
      <c r="C45" s="140"/>
      <c r="D45" s="140" t="s">
        <v>53</v>
      </c>
      <c r="E45" s="140"/>
      <c r="F45" s="141"/>
      <c r="G45" s="142"/>
      <c r="H45" s="134"/>
      <c r="I45" s="143">
        <f>SUM(I21:I44)</f>
        <v>12534384.550000001</v>
      </c>
      <c r="J45" s="143">
        <f t="shared" ref="J45:M45" si="2">SUM(J21:J44)</f>
        <v>6399905.96</v>
      </c>
      <c r="K45" s="143">
        <f t="shared" si="2"/>
        <v>10980570.550000001</v>
      </c>
      <c r="L45" s="143">
        <f t="shared" si="2"/>
        <v>17380476.509999998</v>
      </c>
      <c r="M45" s="143">
        <f t="shared" si="2"/>
        <v>15946699</v>
      </c>
    </row>
    <row r="46" spans="1:17" s="97" customFormat="1" ht="18" customHeight="1">
      <c r="A46" s="133"/>
      <c r="B46" s="127" t="s">
        <v>118</v>
      </c>
      <c r="C46" s="127"/>
      <c r="D46" s="127"/>
      <c r="E46" s="127"/>
      <c r="F46" s="128"/>
      <c r="G46" s="129"/>
      <c r="H46" s="137"/>
      <c r="I46" s="135"/>
      <c r="J46" s="39"/>
      <c r="K46" s="39"/>
      <c r="L46" s="39"/>
      <c r="M46" s="39"/>
    </row>
    <row r="47" spans="1:17" s="97" customFormat="1" ht="18" customHeight="1">
      <c r="A47" s="133"/>
      <c r="B47" s="127"/>
      <c r="C47" s="127"/>
      <c r="D47" s="127" t="s">
        <v>119</v>
      </c>
      <c r="E47" s="127"/>
      <c r="F47" s="128"/>
      <c r="G47" s="129" t="s">
        <v>60</v>
      </c>
      <c r="H47" s="130" t="s">
        <v>210</v>
      </c>
      <c r="I47" s="135">
        <f>1195419+6600</f>
        <v>1202019</v>
      </c>
      <c r="J47" s="39">
        <v>502383</v>
      </c>
      <c r="K47" s="39">
        <f>1550000-J47</f>
        <v>1047617</v>
      </c>
      <c r="L47" s="39">
        <f t="shared" ref="L47:L58" si="3">SUM(K47+J47)</f>
        <v>1550000</v>
      </c>
      <c r="M47" s="39">
        <v>1200000</v>
      </c>
    </row>
    <row r="48" spans="1:17" s="97" customFormat="1" ht="18" customHeight="1">
      <c r="A48" s="133"/>
      <c r="B48" s="127"/>
      <c r="C48" s="127"/>
      <c r="D48" s="127" t="s">
        <v>424</v>
      </c>
      <c r="E48" s="127"/>
      <c r="F48" s="128"/>
      <c r="G48" s="129"/>
      <c r="H48" s="130" t="s">
        <v>419</v>
      </c>
      <c r="I48" s="135"/>
      <c r="J48" s="39"/>
      <c r="K48" s="39">
        <f>0-J48</f>
        <v>0</v>
      </c>
      <c r="L48" s="39">
        <f t="shared" si="3"/>
        <v>0</v>
      </c>
      <c r="M48" s="39">
        <v>100000</v>
      </c>
    </row>
    <row r="49" spans="1:17" s="97" customFormat="1" ht="18" customHeight="1">
      <c r="A49" s="133"/>
      <c r="B49" s="127"/>
      <c r="C49" s="127"/>
      <c r="D49" s="127" t="s">
        <v>91</v>
      </c>
      <c r="E49" s="127"/>
      <c r="F49" s="128"/>
      <c r="G49" s="129" t="s">
        <v>61</v>
      </c>
      <c r="H49" s="130" t="s">
        <v>211</v>
      </c>
      <c r="I49" s="135">
        <v>474695.22</v>
      </c>
      <c r="J49" s="39">
        <v>106091</v>
      </c>
      <c r="K49" s="39">
        <f>400000-J49</f>
        <v>293909</v>
      </c>
      <c r="L49" s="39">
        <f t="shared" si="3"/>
        <v>400000</v>
      </c>
      <c r="M49" s="39">
        <v>800000</v>
      </c>
    </row>
    <row r="50" spans="1:17" s="97" customFormat="1" ht="18" customHeight="1">
      <c r="A50" s="133"/>
      <c r="B50" s="127"/>
      <c r="C50" s="127"/>
      <c r="D50" s="127" t="s">
        <v>58</v>
      </c>
      <c r="E50" s="127"/>
      <c r="F50" s="128"/>
      <c r="G50" s="129" t="s">
        <v>63</v>
      </c>
      <c r="H50" s="130" t="s">
        <v>212</v>
      </c>
      <c r="I50" s="135">
        <f>883019+24100</f>
        <v>907119</v>
      </c>
      <c r="J50" s="39">
        <v>286805.08</v>
      </c>
      <c r="K50" s="39">
        <f>1450000-J50</f>
        <v>1163194.92</v>
      </c>
      <c r="L50" s="39">
        <f t="shared" si="3"/>
        <v>1450000</v>
      </c>
      <c r="M50" s="39">
        <v>1600000</v>
      </c>
    </row>
    <row r="51" spans="1:17" s="97" customFormat="1" ht="18" customHeight="1">
      <c r="A51" s="133"/>
      <c r="B51" s="127"/>
      <c r="C51" s="127"/>
      <c r="D51" s="127" t="s">
        <v>123</v>
      </c>
      <c r="E51" s="127"/>
      <c r="F51" s="128"/>
      <c r="G51" s="129" t="s">
        <v>175</v>
      </c>
      <c r="H51" s="130" t="s">
        <v>213</v>
      </c>
      <c r="I51" s="135">
        <v>0</v>
      </c>
      <c r="J51" s="39">
        <v>0</v>
      </c>
      <c r="K51" s="39">
        <f>0-J51</f>
        <v>0</v>
      </c>
      <c r="L51" s="39">
        <f t="shared" si="3"/>
        <v>0</v>
      </c>
      <c r="M51" s="39">
        <v>10000</v>
      </c>
    </row>
    <row r="52" spans="1:17" s="97" customFormat="1" ht="18" customHeight="1">
      <c r="A52" s="133"/>
      <c r="B52" s="127"/>
      <c r="C52" s="127"/>
      <c r="D52" s="127" t="s">
        <v>125</v>
      </c>
      <c r="E52" s="127"/>
      <c r="F52" s="128"/>
      <c r="G52" s="129" t="s">
        <v>64</v>
      </c>
      <c r="H52" s="130" t="s">
        <v>214</v>
      </c>
      <c r="I52" s="135">
        <v>136000</v>
      </c>
      <c r="J52" s="39">
        <v>61000</v>
      </c>
      <c r="K52" s="39">
        <f>132000-J52</f>
        <v>71000</v>
      </c>
      <c r="L52" s="39">
        <f t="shared" si="3"/>
        <v>132000</v>
      </c>
      <c r="M52" s="39">
        <v>114000</v>
      </c>
    </row>
    <row r="53" spans="1:17" s="97" customFormat="1" ht="18" customHeight="1">
      <c r="A53" s="133"/>
      <c r="B53" s="127"/>
      <c r="C53" s="127"/>
      <c r="D53" s="127" t="s">
        <v>425</v>
      </c>
      <c r="E53" s="127"/>
      <c r="F53" s="128"/>
      <c r="G53" s="129"/>
      <c r="H53" s="130" t="s">
        <v>322</v>
      </c>
      <c r="I53" s="135">
        <v>49050</v>
      </c>
      <c r="J53" s="39">
        <v>9592</v>
      </c>
      <c r="K53" s="39">
        <f>150000-J53</f>
        <v>140408</v>
      </c>
      <c r="L53" s="39">
        <f t="shared" si="3"/>
        <v>150000</v>
      </c>
      <c r="M53" s="39">
        <v>150000</v>
      </c>
    </row>
    <row r="54" spans="1:17" s="97" customFormat="1" ht="18" customHeight="1">
      <c r="A54" s="133"/>
      <c r="B54" s="127"/>
      <c r="C54" s="127"/>
      <c r="D54" s="191" t="s">
        <v>420</v>
      </c>
      <c r="E54" s="127"/>
      <c r="F54" s="128"/>
      <c r="G54" s="129" t="s">
        <v>65</v>
      </c>
      <c r="H54" s="130" t="s">
        <v>215</v>
      </c>
      <c r="I54" s="135"/>
      <c r="J54" s="39"/>
      <c r="K54" s="39">
        <f>0-J54</f>
        <v>0</v>
      </c>
      <c r="L54" s="39">
        <f t="shared" si="3"/>
        <v>0</v>
      </c>
      <c r="M54" s="39">
        <v>150000</v>
      </c>
      <c r="N54" s="136"/>
      <c r="O54" s="136"/>
      <c r="P54" s="136"/>
      <c r="Q54" s="136"/>
    </row>
    <row r="55" spans="1:17" s="97" customFormat="1" ht="18" customHeight="1">
      <c r="A55" s="133"/>
      <c r="B55" s="127"/>
      <c r="C55" s="127"/>
      <c r="D55" s="127" t="s">
        <v>128</v>
      </c>
      <c r="E55" s="127"/>
      <c r="F55" s="128"/>
      <c r="G55" s="129" t="s">
        <v>180</v>
      </c>
      <c r="H55" s="130" t="s">
        <v>228</v>
      </c>
      <c r="I55" s="135">
        <v>52660</v>
      </c>
      <c r="J55" s="39">
        <v>0</v>
      </c>
      <c r="K55" s="39">
        <f>70904-J55</f>
        <v>70904</v>
      </c>
      <c r="L55" s="39">
        <f t="shared" si="3"/>
        <v>70904</v>
      </c>
      <c r="M55" s="39">
        <v>103998</v>
      </c>
    </row>
    <row r="56" spans="1:17" s="97" customFormat="1" ht="18" customHeight="1">
      <c r="A56" s="133"/>
      <c r="B56" s="127"/>
      <c r="C56" s="127"/>
      <c r="D56" s="127" t="s">
        <v>127</v>
      </c>
      <c r="E56" s="127"/>
      <c r="F56" s="128"/>
      <c r="G56" s="129"/>
      <c r="H56" s="130" t="s">
        <v>226</v>
      </c>
      <c r="I56" s="135">
        <v>0</v>
      </c>
      <c r="J56" s="39">
        <v>184005</v>
      </c>
      <c r="K56" s="39">
        <f>370000-J56</f>
        <v>185995</v>
      </c>
      <c r="L56" s="39">
        <f t="shared" si="3"/>
        <v>370000</v>
      </c>
      <c r="M56" s="39">
        <v>360000</v>
      </c>
    </row>
    <row r="57" spans="1:17" s="97" customFormat="1" ht="18" customHeight="1">
      <c r="A57" s="133"/>
      <c r="B57" s="127"/>
      <c r="C57" s="127"/>
      <c r="D57" s="127" t="s">
        <v>131</v>
      </c>
      <c r="E57" s="127"/>
      <c r="F57" s="128"/>
      <c r="G57" s="129" t="s">
        <v>66</v>
      </c>
      <c r="H57" s="130" t="s">
        <v>216</v>
      </c>
      <c r="I57" s="135">
        <v>304339</v>
      </c>
      <c r="J57" s="39">
        <v>21067.73</v>
      </c>
      <c r="K57" s="39">
        <f>100000-J57</f>
        <v>78932.27</v>
      </c>
      <c r="L57" s="39">
        <f t="shared" si="3"/>
        <v>100000</v>
      </c>
      <c r="M57" s="39">
        <v>100000</v>
      </c>
    </row>
    <row r="58" spans="1:17" s="97" customFormat="1" ht="18" customHeight="1">
      <c r="A58" s="133"/>
      <c r="B58" s="127"/>
      <c r="C58" s="127"/>
      <c r="D58" s="127" t="s">
        <v>355</v>
      </c>
      <c r="E58" s="127"/>
      <c r="F58" s="128"/>
      <c r="G58" s="129"/>
      <c r="H58" s="130" t="s">
        <v>216</v>
      </c>
      <c r="I58" s="135">
        <v>819000</v>
      </c>
      <c r="J58" s="39"/>
      <c r="K58" s="39">
        <f>1386000-J58</f>
        <v>1386000</v>
      </c>
      <c r="L58" s="39">
        <f t="shared" si="3"/>
        <v>1386000</v>
      </c>
      <c r="M58" s="39">
        <v>0</v>
      </c>
    </row>
    <row r="59" spans="1:17" s="144" customFormat="1" ht="18" customHeight="1">
      <c r="A59" s="139"/>
      <c r="B59" s="140"/>
      <c r="C59" s="140"/>
      <c r="D59" s="140" t="s">
        <v>244</v>
      </c>
      <c r="E59" s="140"/>
      <c r="F59" s="141"/>
      <c r="G59" s="142"/>
      <c r="H59" s="134"/>
      <c r="I59" s="143">
        <f>SUM(I47:I58)</f>
        <v>3944882.2199999997</v>
      </c>
      <c r="J59" s="143">
        <f t="shared" ref="J59:M59" si="4">SUM(J47:J58)</f>
        <v>1170943.81</v>
      </c>
      <c r="K59" s="143">
        <f t="shared" si="4"/>
        <v>4437960.1899999995</v>
      </c>
      <c r="L59" s="143">
        <f t="shared" si="4"/>
        <v>5608904</v>
      </c>
      <c r="M59" s="143">
        <f t="shared" si="4"/>
        <v>4687998</v>
      </c>
      <c r="N59" s="145"/>
      <c r="O59" s="145"/>
      <c r="P59" s="145"/>
      <c r="Q59" s="145"/>
    </row>
    <row r="60" spans="1:17" s="97" customFormat="1" ht="18" customHeight="1">
      <c r="A60" s="133"/>
      <c r="B60" s="127" t="s">
        <v>132</v>
      </c>
      <c r="C60" s="127"/>
      <c r="D60" s="127"/>
      <c r="E60" s="127"/>
      <c r="F60" s="128"/>
      <c r="G60" s="129"/>
      <c r="H60" s="137"/>
      <c r="I60" s="135"/>
      <c r="J60" s="39"/>
      <c r="K60" s="39"/>
      <c r="L60" s="39"/>
      <c r="M60" s="39"/>
    </row>
    <row r="61" spans="1:17" s="97" customFormat="1" ht="18" customHeight="1">
      <c r="A61" s="133"/>
      <c r="B61" s="127"/>
      <c r="C61" s="127"/>
      <c r="D61" s="127" t="s">
        <v>195</v>
      </c>
      <c r="E61" s="127"/>
      <c r="F61" s="128"/>
      <c r="G61" s="129" t="s">
        <v>285</v>
      </c>
      <c r="H61" s="130" t="s">
        <v>286</v>
      </c>
      <c r="I61" s="135"/>
      <c r="J61" s="135">
        <v>438267</v>
      </c>
      <c r="K61" s="135">
        <f>750000-J61</f>
        <v>311733</v>
      </c>
      <c r="L61" s="39">
        <f t="shared" ref="L61:L65" si="5">SUM(K61+J61)</f>
        <v>750000</v>
      </c>
      <c r="M61" s="39">
        <v>500000</v>
      </c>
    </row>
    <row r="62" spans="1:17" s="97" customFormat="1" ht="18" customHeight="1">
      <c r="A62" s="133"/>
      <c r="B62" s="127"/>
      <c r="C62" s="127"/>
      <c r="D62" s="127" t="s">
        <v>291</v>
      </c>
      <c r="E62" s="127"/>
      <c r="F62" s="128"/>
      <c r="G62" s="129" t="s">
        <v>313</v>
      </c>
      <c r="H62" s="130" t="s">
        <v>294</v>
      </c>
      <c r="I62" s="135">
        <v>1000000</v>
      </c>
      <c r="J62" s="39"/>
      <c r="K62" s="135">
        <f>1000000-J62</f>
        <v>1000000</v>
      </c>
      <c r="L62" s="39">
        <f t="shared" si="5"/>
        <v>1000000</v>
      </c>
      <c r="M62" s="39">
        <v>0</v>
      </c>
    </row>
    <row r="63" spans="1:17" s="97" customFormat="1" ht="18" customHeight="1">
      <c r="A63" s="133"/>
      <c r="B63" s="127"/>
      <c r="C63" s="127"/>
      <c r="D63" s="127" t="s">
        <v>332</v>
      </c>
      <c r="E63" s="127"/>
      <c r="F63" s="128"/>
      <c r="G63" s="129"/>
      <c r="H63" s="130" t="s">
        <v>315</v>
      </c>
      <c r="I63" s="135"/>
      <c r="J63" s="39"/>
      <c r="K63" s="135">
        <f>0-J63</f>
        <v>0</v>
      </c>
      <c r="L63" s="39">
        <f t="shared" si="5"/>
        <v>0</v>
      </c>
      <c r="M63" s="39"/>
    </row>
    <row r="64" spans="1:17" s="97" customFormat="1" ht="18" customHeight="1">
      <c r="A64" s="133"/>
      <c r="B64" s="127"/>
      <c r="C64" s="127"/>
      <c r="D64" s="127" t="s">
        <v>347</v>
      </c>
      <c r="E64" s="127"/>
      <c r="F64" s="128"/>
      <c r="G64" s="129"/>
      <c r="H64" s="130" t="s">
        <v>346</v>
      </c>
      <c r="I64" s="135"/>
      <c r="J64" s="39"/>
      <c r="K64" s="135">
        <f>0-J64</f>
        <v>0</v>
      </c>
      <c r="L64" s="39">
        <f t="shared" si="5"/>
        <v>0</v>
      </c>
      <c r="M64" s="39"/>
    </row>
    <row r="65" spans="1:17" s="97" customFormat="1" ht="18" customHeight="1">
      <c r="A65" s="133"/>
      <c r="B65" s="127"/>
      <c r="C65" s="127"/>
      <c r="D65" s="127" t="s">
        <v>305</v>
      </c>
      <c r="E65" s="127"/>
      <c r="F65" s="128"/>
      <c r="G65" s="129" t="s">
        <v>316</v>
      </c>
      <c r="H65" s="130" t="s">
        <v>306</v>
      </c>
      <c r="I65" s="135">
        <v>899543.6</v>
      </c>
      <c r="J65" s="39"/>
      <c r="K65" s="135">
        <f>0-J65</f>
        <v>0</v>
      </c>
      <c r="L65" s="39">
        <f t="shared" si="5"/>
        <v>0</v>
      </c>
      <c r="M65" s="39">
        <v>0</v>
      </c>
    </row>
    <row r="66" spans="1:17" s="144" customFormat="1" ht="18" customHeight="1" thickBot="1">
      <c r="A66" s="218"/>
      <c r="B66" s="219"/>
      <c r="C66" s="219"/>
      <c r="D66" s="219" t="s">
        <v>245</v>
      </c>
      <c r="E66" s="219"/>
      <c r="F66" s="220"/>
      <c r="G66" s="221"/>
      <c r="H66" s="222"/>
      <c r="I66" s="223">
        <f>SUM(I61:I65)</f>
        <v>1899543.6</v>
      </c>
      <c r="J66" s="223">
        <f>SUM(J61:J65)</f>
        <v>438267</v>
      </c>
      <c r="K66" s="223">
        <f>SUM(K61:K65)</f>
        <v>1311733</v>
      </c>
      <c r="L66" s="223">
        <f>SUM(L61:L65)</f>
        <v>1750000</v>
      </c>
      <c r="M66" s="223">
        <f>SUM(M61:M65)</f>
        <v>500000</v>
      </c>
      <c r="N66" s="145"/>
      <c r="O66" s="145"/>
      <c r="P66" s="145"/>
      <c r="Q66" s="145"/>
    </row>
    <row r="67" spans="1:17" s="45" customFormat="1" ht="6.75" customHeight="1">
      <c r="A67" s="40"/>
      <c r="B67" s="41"/>
      <c r="C67" s="41"/>
      <c r="D67" s="41"/>
      <c r="E67" s="41"/>
      <c r="F67" s="42"/>
      <c r="G67" s="43"/>
      <c r="H67" s="37"/>
      <c r="I67" s="44"/>
      <c r="J67" s="46"/>
      <c r="K67" s="46"/>
      <c r="L67" s="46"/>
      <c r="M67" s="46"/>
    </row>
    <row r="68" spans="1:17" s="45" customFormat="1" ht="18" customHeight="1">
      <c r="A68" s="47" t="s">
        <v>412</v>
      </c>
      <c r="B68" s="48"/>
      <c r="C68" s="48"/>
      <c r="D68" s="48"/>
      <c r="E68" s="48"/>
      <c r="F68" s="49"/>
      <c r="G68" s="50"/>
      <c r="H68" s="51"/>
      <c r="I68" s="52">
        <f>SUM(I45+I59+I66)</f>
        <v>18378810.370000001</v>
      </c>
      <c r="J68" s="52">
        <f>SUM(J45+J59+J66)</f>
        <v>8009116.7699999996</v>
      </c>
      <c r="K68" s="52">
        <f>SUM(K45+K59+K66)</f>
        <v>16730263.74</v>
      </c>
      <c r="L68" s="52">
        <f>SUM(L45+L59+L66)</f>
        <v>24739380.509999998</v>
      </c>
      <c r="M68" s="52">
        <f>SUM(M45+M59+M66)</f>
        <v>21134697</v>
      </c>
    </row>
    <row r="69" spans="1:17" s="45" customFormat="1" ht="18" customHeight="1">
      <c r="A69" s="53"/>
      <c r="B69" s="53"/>
      <c r="C69" s="53"/>
      <c r="D69" s="53"/>
      <c r="E69" s="53"/>
      <c r="F69" s="53"/>
      <c r="G69" s="73"/>
      <c r="H69" s="173"/>
      <c r="I69" s="174"/>
      <c r="J69" s="174"/>
      <c r="K69" s="174"/>
      <c r="L69" s="174"/>
      <c r="M69" s="174"/>
    </row>
    <row r="70" spans="1:17" s="45" customFormat="1" ht="18" customHeight="1">
      <c r="A70" s="241" t="s">
        <v>490</v>
      </c>
      <c r="B70" s="241"/>
      <c r="C70" s="241"/>
      <c r="D70" s="241"/>
      <c r="E70" s="241"/>
      <c r="F70" s="241"/>
      <c r="G70" s="241"/>
      <c r="H70" s="241"/>
      <c r="I70" s="241"/>
      <c r="J70" s="241"/>
      <c r="K70" s="241"/>
      <c r="L70" s="241"/>
      <c r="M70" s="241"/>
    </row>
    <row r="71" spans="1:17" s="45" customFormat="1" ht="18" customHeight="1">
      <c r="A71" s="93"/>
      <c r="B71" s="94"/>
      <c r="C71" s="93"/>
      <c r="D71" s="93"/>
      <c r="E71" s="93"/>
      <c r="F71" s="95"/>
      <c r="G71" s="93"/>
      <c r="H71" s="96"/>
      <c r="I71" s="96"/>
      <c r="J71" s="92"/>
      <c r="K71" s="61"/>
      <c r="L71" s="61"/>
      <c r="M71" s="55"/>
    </row>
    <row r="72" spans="1:17" s="45" customFormat="1" ht="18" customHeight="1">
      <c r="A72" s="242" t="s">
        <v>491</v>
      </c>
      <c r="B72" s="242"/>
      <c r="C72" s="92"/>
      <c r="D72" s="242"/>
      <c r="E72" s="242"/>
      <c r="F72" s="92"/>
      <c r="G72" s="242"/>
      <c r="H72" s="242"/>
      <c r="I72" s="242" t="s">
        <v>492</v>
      </c>
      <c r="J72" s="242"/>
      <c r="K72" s="242"/>
      <c r="L72" s="242" t="s">
        <v>493</v>
      </c>
      <c r="M72" s="242"/>
    </row>
    <row r="73" spans="1:17" s="45" customFormat="1" ht="18" customHeight="1">
      <c r="A73" s="93"/>
      <c r="B73" s="94"/>
      <c r="C73" s="92"/>
      <c r="D73" s="93"/>
      <c r="E73" s="93"/>
      <c r="F73" s="92"/>
      <c r="G73" s="93"/>
      <c r="H73" s="92"/>
      <c r="I73" s="93"/>
      <c r="J73" s="96"/>
      <c r="K73" s="60"/>
      <c r="L73" s="95"/>
      <c r="M73" s="61"/>
    </row>
    <row r="74" spans="1:17" s="45" customFormat="1" ht="18" customHeight="1">
      <c r="A74" s="399" t="s">
        <v>328</v>
      </c>
      <c r="B74" s="399"/>
      <c r="C74" s="399"/>
      <c r="D74" s="399"/>
      <c r="E74" s="399"/>
      <c r="F74" s="399"/>
      <c r="G74" s="94"/>
      <c r="H74" s="243"/>
      <c r="I74" s="399" t="s">
        <v>494</v>
      </c>
      <c r="J74" s="399"/>
      <c r="K74" s="58"/>
      <c r="L74" s="399" t="s">
        <v>328</v>
      </c>
      <c r="M74" s="399"/>
    </row>
    <row r="75" spans="1:17" s="45" customFormat="1" ht="18" customHeight="1">
      <c r="A75" s="405" t="s">
        <v>495</v>
      </c>
      <c r="B75" s="405"/>
      <c r="C75" s="405"/>
      <c r="D75" s="405"/>
      <c r="E75" s="405"/>
      <c r="F75" s="405"/>
      <c r="G75" s="15"/>
      <c r="H75" s="15"/>
      <c r="I75" s="405" t="s">
        <v>496</v>
      </c>
      <c r="J75" s="405"/>
      <c r="K75" s="15"/>
      <c r="L75" s="405" t="s">
        <v>497</v>
      </c>
      <c r="M75" s="405"/>
    </row>
    <row r="76" spans="1:17" s="45" customFormat="1" ht="18" customHeight="1">
      <c r="A76" s="53"/>
      <c r="B76" s="53"/>
      <c r="C76" s="53"/>
      <c r="D76" s="53"/>
      <c r="E76" s="53"/>
      <c r="F76" s="53"/>
      <c r="G76" s="73"/>
      <c r="H76" s="173"/>
      <c r="I76" s="174"/>
      <c r="J76" s="174"/>
      <c r="K76" s="174"/>
      <c r="L76" s="174"/>
      <c r="M76" s="174"/>
    </row>
    <row r="77" spans="1:17" s="45" customFormat="1" ht="18" customHeight="1">
      <c r="A77" s="53"/>
      <c r="B77" s="53"/>
      <c r="C77" s="53"/>
      <c r="D77" s="53"/>
      <c r="E77" s="53"/>
      <c r="F77" s="53"/>
      <c r="G77" s="73"/>
      <c r="H77" s="173"/>
      <c r="I77" s="174"/>
      <c r="J77" s="174"/>
      <c r="K77" s="174"/>
      <c r="L77" s="174"/>
      <c r="M77" s="174"/>
    </row>
    <row r="78" spans="1:17" s="45" customFormat="1" ht="18" customHeight="1">
      <c r="A78" s="399" t="s">
        <v>481</v>
      </c>
      <c r="B78" s="399"/>
      <c r="C78" s="399"/>
      <c r="D78" s="399"/>
      <c r="E78" s="399"/>
      <c r="F78" s="399"/>
      <c r="G78" s="399"/>
      <c r="H78" s="399"/>
      <c r="I78" s="399"/>
      <c r="J78" s="399"/>
      <c r="K78" s="399"/>
      <c r="L78" s="399"/>
      <c r="M78" s="399"/>
    </row>
    <row r="79" spans="1:17" s="45" customFormat="1" ht="18" customHeight="1">
      <c r="A79" s="238"/>
      <c r="B79" s="238"/>
      <c r="C79" s="238"/>
      <c r="D79" s="238"/>
      <c r="E79" s="238"/>
      <c r="F79" s="238"/>
      <c r="G79" s="238"/>
      <c r="H79" s="238"/>
      <c r="I79" s="238"/>
      <c r="J79" s="238"/>
      <c r="K79" s="238"/>
      <c r="L79" s="238"/>
      <c r="M79" s="238"/>
    </row>
    <row r="80" spans="1:17" s="45" customFormat="1" ht="18" customHeight="1">
      <c r="A80" s="238" t="s">
        <v>482</v>
      </c>
      <c r="B80" s="238"/>
      <c r="C80" s="238"/>
      <c r="D80" s="239"/>
      <c r="E80" s="239"/>
      <c r="F80" s="238" t="s">
        <v>483</v>
      </c>
      <c r="G80" s="238"/>
      <c r="H80" s="238"/>
      <c r="I80" s="238"/>
      <c r="J80" s="238" t="s">
        <v>484</v>
      </c>
      <c r="K80" s="240" t="s">
        <v>528</v>
      </c>
      <c r="L80" s="238"/>
      <c r="M80" s="238"/>
    </row>
    <row r="81" spans="1:17" s="45" customFormat="1" ht="18" customHeight="1">
      <c r="A81" s="238" t="s">
        <v>485</v>
      </c>
      <c r="B81" s="238"/>
      <c r="C81" s="238"/>
      <c r="D81" s="239"/>
      <c r="E81" s="238"/>
      <c r="F81" s="238" t="s">
        <v>486</v>
      </c>
      <c r="G81" s="238"/>
      <c r="H81" s="238"/>
      <c r="I81" s="238"/>
      <c r="J81" s="238" t="s">
        <v>487</v>
      </c>
      <c r="K81" s="94" t="s">
        <v>488</v>
      </c>
      <c r="L81" s="238"/>
      <c r="M81" s="238"/>
    </row>
    <row r="82" spans="1:17" s="45" customFormat="1" ht="18" customHeight="1">
      <c r="A82" s="238" t="s">
        <v>489</v>
      </c>
      <c r="B82" s="238"/>
      <c r="C82" s="238"/>
      <c r="D82" s="238"/>
      <c r="E82" s="238"/>
      <c r="F82" s="238"/>
      <c r="G82" s="238"/>
      <c r="H82" s="238"/>
      <c r="I82" s="238"/>
      <c r="J82" s="238"/>
      <c r="K82" s="238"/>
      <c r="L82" s="238"/>
      <c r="M82" s="238"/>
    </row>
    <row r="83" spans="1:17" s="45" customFormat="1" ht="18" customHeight="1" thickBot="1">
      <c r="A83" s="198"/>
      <c r="B83" s="198"/>
      <c r="C83" s="198"/>
      <c r="D83" s="198"/>
      <c r="E83" s="198"/>
      <c r="F83" s="198"/>
      <c r="G83" s="198"/>
      <c r="H83" s="198"/>
      <c r="I83" s="198"/>
      <c r="J83" s="198"/>
      <c r="K83" s="198"/>
      <c r="L83" s="198"/>
      <c r="M83" s="198"/>
    </row>
    <row r="84" spans="1:17" s="45" customFormat="1" ht="18" customHeight="1">
      <c r="A84" s="192"/>
      <c r="B84" s="193"/>
      <c r="C84" s="193"/>
      <c r="D84" s="193"/>
      <c r="E84" s="193"/>
      <c r="F84" s="194"/>
      <c r="G84" s="195"/>
      <c r="H84" s="196"/>
      <c r="I84" s="196" t="s">
        <v>3</v>
      </c>
      <c r="J84" s="394" t="s">
        <v>188</v>
      </c>
      <c r="K84" s="395"/>
      <c r="L84" s="396"/>
      <c r="M84" s="197" t="s">
        <v>4</v>
      </c>
    </row>
    <row r="85" spans="1:17" s="45" customFormat="1" ht="18" customHeight="1">
      <c r="A85" s="388"/>
      <c r="B85" s="389"/>
      <c r="C85" s="389"/>
      <c r="D85" s="389"/>
      <c r="E85" s="389"/>
      <c r="F85" s="390"/>
      <c r="G85" s="199"/>
      <c r="H85" s="200"/>
      <c r="I85" s="200">
        <v>2023</v>
      </c>
      <c r="J85" s="200" t="s">
        <v>137</v>
      </c>
      <c r="K85" s="200" t="s">
        <v>138</v>
      </c>
      <c r="L85" s="200">
        <v>2024</v>
      </c>
      <c r="M85" s="201">
        <v>2025</v>
      </c>
    </row>
    <row r="86" spans="1:17" s="45" customFormat="1" ht="18" customHeight="1">
      <c r="A86" s="388" t="s">
        <v>8</v>
      </c>
      <c r="B86" s="389"/>
      <c r="C86" s="389"/>
      <c r="D86" s="389"/>
      <c r="E86" s="389"/>
      <c r="F86" s="390"/>
      <c r="G86" s="202"/>
      <c r="H86" s="203" t="s">
        <v>186</v>
      </c>
      <c r="I86" s="200" t="s">
        <v>311</v>
      </c>
      <c r="J86" s="200" t="s">
        <v>136</v>
      </c>
      <c r="K86" s="200" t="s">
        <v>139</v>
      </c>
      <c r="L86" s="200" t="s">
        <v>311</v>
      </c>
      <c r="M86" s="201" t="s">
        <v>311</v>
      </c>
    </row>
    <row r="87" spans="1:17" s="45" customFormat="1" ht="18" customHeight="1">
      <c r="A87" s="204"/>
      <c r="B87" s="99"/>
      <c r="C87" s="99"/>
      <c r="D87" s="99"/>
      <c r="E87" s="99"/>
      <c r="F87" s="205"/>
      <c r="G87" s="202"/>
      <c r="H87" s="200"/>
      <c r="I87" s="200" t="s">
        <v>136</v>
      </c>
      <c r="J87" s="200">
        <v>2024</v>
      </c>
      <c r="K87" s="200">
        <v>2024</v>
      </c>
      <c r="L87" s="200" t="s">
        <v>312</v>
      </c>
      <c r="M87" s="201" t="s">
        <v>140</v>
      </c>
    </row>
    <row r="88" spans="1:17" s="45" customFormat="1" ht="18" customHeight="1" thickBot="1">
      <c r="A88" s="391"/>
      <c r="B88" s="392"/>
      <c r="C88" s="392"/>
      <c r="D88" s="392"/>
      <c r="E88" s="392"/>
      <c r="F88" s="393"/>
      <c r="G88" s="206"/>
      <c r="H88" s="207"/>
      <c r="I88" s="207"/>
      <c r="J88" s="207"/>
      <c r="K88" s="207"/>
      <c r="L88" s="207"/>
      <c r="M88" s="208"/>
    </row>
    <row r="89" spans="1:17" s="144" customFormat="1" ht="18" customHeight="1">
      <c r="A89" s="139"/>
      <c r="B89" s="141" t="s">
        <v>133</v>
      </c>
      <c r="C89" s="175"/>
      <c r="D89" s="175"/>
      <c r="E89" s="175"/>
      <c r="F89" s="175"/>
      <c r="G89" s="176"/>
      <c r="H89" s="134"/>
      <c r="I89" s="143"/>
      <c r="J89" s="143"/>
      <c r="K89" s="143"/>
      <c r="L89" s="143"/>
      <c r="M89" s="143"/>
      <c r="N89" s="145"/>
      <c r="O89" s="145"/>
      <c r="P89" s="145"/>
      <c r="Q89" s="145"/>
    </row>
    <row r="90" spans="1:17" s="144" customFormat="1" ht="18" customHeight="1">
      <c r="A90" s="139"/>
      <c r="B90" s="140"/>
      <c r="C90" s="140"/>
      <c r="D90" s="20" t="s">
        <v>246</v>
      </c>
      <c r="E90" s="140"/>
      <c r="F90" s="141"/>
      <c r="G90" s="142"/>
      <c r="H90" s="4">
        <v>1181</v>
      </c>
      <c r="I90" s="22">
        <f>1010018.08+65304.6</f>
        <v>1075322.68</v>
      </c>
      <c r="J90" s="9">
        <v>394634.74</v>
      </c>
      <c r="K90" s="9">
        <f>1050000-J90</f>
        <v>655365.26</v>
      </c>
      <c r="L90" s="9">
        <f>K90+J90</f>
        <v>1050000</v>
      </c>
      <c r="M90" s="9">
        <v>347000</v>
      </c>
      <c r="N90" s="145"/>
      <c r="O90" s="145"/>
      <c r="P90" s="145"/>
      <c r="Q90" s="145"/>
    </row>
    <row r="91" spans="1:17" s="144" customFormat="1" ht="18" customHeight="1">
      <c r="A91" s="139"/>
      <c r="B91" s="140"/>
      <c r="C91" s="140"/>
      <c r="D91" s="20" t="s">
        <v>247</v>
      </c>
      <c r="E91" s="140"/>
      <c r="F91" s="141"/>
      <c r="G91" s="142"/>
      <c r="H91" s="4">
        <v>1191</v>
      </c>
      <c r="I91" s="22">
        <f>588369.15+2022.4</f>
        <v>590391.55000000005</v>
      </c>
      <c r="J91" s="9">
        <v>295824.53999999998</v>
      </c>
      <c r="K91" s="9">
        <f>574000+61000-J91</f>
        <v>339175.46</v>
      </c>
      <c r="L91" s="9">
        <f t="shared" ref="L91:L118" si="6">K91+J91</f>
        <v>635000</v>
      </c>
      <c r="M91" s="9">
        <v>427000</v>
      </c>
      <c r="N91" s="145"/>
      <c r="O91" s="145"/>
      <c r="P91" s="145"/>
      <c r="Q91" s="145"/>
    </row>
    <row r="92" spans="1:17" s="144" customFormat="1" ht="18" customHeight="1">
      <c r="A92" s="139"/>
      <c r="B92" s="140"/>
      <c r="C92" s="140"/>
      <c r="D92" s="20" t="s">
        <v>248</v>
      </c>
      <c r="E92" s="140"/>
      <c r="F92" s="141"/>
      <c r="G92" s="142"/>
      <c r="H92" s="4">
        <v>1158</v>
      </c>
      <c r="I92" s="22">
        <v>66664.600000000006</v>
      </c>
      <c r="J92" s="9">
        <v>20907.88</v>
      </c>
      <c r="K92" s="9">
        <f>70000-J92</f>
        <v>49092.119999999995</v>
      </c>
      <c r="L92" s="9">
        <f t="shared" si="6"/>
        <v>70000</v>
      </c>
      <c r="M92" s="9">
        <v>70000</v>
      </c>
      <c r="N92" s="145"/>
      <c r="O92" s="145"/>
      <c r="P92" s="145"/>
      <c r="Q92" s="145"/>
    </row>
    <row r="93" spans="1:17" s="144" customFormat="1" ht="18" customHeight="1">
      <c r="A93" s="139"/>
      <c r="B93" s="140"/>
      <c r="C93" s="140"/>
      <c r="D93" s="20" t="s">
        <v>249</v>
      </c>
      <c r="E93" s="140"/>
      <c r="F93" s="141"/>
      <c r="G93" s="142"/>
      <c r="H93" s="4">
        <v>1111</v>
      </c>
      <c r="I93" s="22">
        <v>94400</v>
      </c>
      <c r="J93" s="9">
        <v>45800</v>
      </c>
      <c r="K93" s="9">
        <f>100000-J93</f>
        <v>54200</v>
      </c>
      <c r="L93" s="9">
        <f t="shared" si="6"/>
        <v>100000</v>
      </c>
      <c r="M93" s="9">
        <v>100000</v>
      </c>
      <c r="N93" s="145"/>
      <c r="O93" s="145"/>
      <c r="P93" s="145"/>
      <c r="Q93" s="145"/>
    </row>
    <row r="94" spans="1:17" s="144" customFormat="1" ht="18" customHeight="1">
      <c r="A94" s="139"/>
      <c r="B94" s="140"/>
      <c r="C94" s="140"/>
      <c r="D94" s="20" t="s">
        <v>250</v>
      </c>
      <c r="E94" s="140"/>
      <c r="F94" s="141"/>
      <c r="G94" s="142"/>
      <c r="H94" s="4" t="s">
        <v>33</v>
      </c>
      <c r="I94" s="22">
        <v>30000</v>
      </c>
      <c r="J94" s="9">
        <v>15000</v>
      </c>
      <c r="K94" s="9">
        <f>33000-J94</f>
        <v>18000</v>
      </c>
      <c r="L94" s="9">
        <f t="shared" si="6"/>
        <v>33000</v>
      </c>
      <c r="M94" s="9">
        <v>33000</v>
      </c>
      <c r="N94" s="145"/>
      <c r="O94" s="145"/>
      <c r="P94" s="145"/>
      <c r="Q94" s="145"/>
    </row>
    <row r="95" spans="1:17" s="144" customFormat="1" ht="18" customHeight="1">
      <c r="A95" s="139"/>
      <c r="B95" s="140"/>
      <c r="C95" s="140"/>
      <c r="D95" s="20" t="s">
        <v>251</v>
      </c>
      <c r="E95" s="140"/>
      <c r="F95" s="141"/>
      <c r="G95" s="142"/>
      <c r="H95" s="4" t="s">
        <v>9</v>
      </c>
      <c r="I95" s="22">
        <v>30000</v>
      </c>
      <c r="J95" s="9">
        <v>15000</v>
      </c>
      <c r="K95" s="9">
        <f>83000-J95</f>
        <v>68000</v>
      </c>
      <c r="L95" s="9">
        <f t="shared" si="6"/>
        <v>83000</v>
      </c>
      <c r="M95" s="9">
        <v>33000</v>
      </c>
      <c r="N95" s="145"/>
      <c r="O95" s="145"/>
      <c r="P95" s="145"/>
      <c r="Q95" s="145"/>
    </row>
    <row r="96" spans="1:17" s="144" customFormat="1" ht="18" customHeight="1">
      <c r="A96" s="139"/>
      <c r="B96" s="140"/>
      <c r="C96" s="140"/>
      <c r="D96" s="20" t="s">
        <v>253</v>
      </c>
      <c r="E96" s="140"/>
      <c r="F96" s="141"/>
      <c r="G96" s="142"/>
      <c r="H96" s="4" t="s">
        <v>10</v>
      </c>
      <c r="I96" s="22">
        <v>140552.84</v>
      </c>
      <c r="J96" s="9">
        <v>44969.29</v>
      </c>
      <c r="K96" s="9">
        <f>200000-J96</f>
        <v>155030.71</v>
      </c>
      <c r="L96" s="9">
        <f t="shared" si="6"/>
        <v>200000</v>
      </c>
      <c r="M96" s="9">
        <v>130000</v>
      </c>
      <c r="N96" s="145"/>
      <c r="O96" s="145"/>
      <c r="P96" s="145"/>
      <c r="Q96" s="145"/>
    </row>
    <row r="97" spans="1:17" s="144" customFormat="1" ht="18" customHeight="1">
      <c r="A97" s="139"/>
      <c r="B97" s="140"/>
      <c r="C97" s="140"/>
      <c r="D97" s="20" t="s">
        <v>426</v>
      </c>
      <c r="E97" s="140"/>
      <c r="F97" s="141"/>
      <c r="G97" s="142"/>
      <c r="H97" s="4" t="s">
        <v>427</v>
      </c>
      <c r="I97" s="22"/>
      <c r="J97" s="9"/>
      <c r="K97" s="9"/>
      <c r="L97" s="9"/>
      <c r="M97" s="9">
        <v>70000</v>
      </c>
      <c r="N97" s="145"/>
      <c r="O97" s="145"/>
      <c r="P97" s="145"/>
      <c r="Q97" s="145"/>
    </row>
    <row r="98" spans="1:17" s="144" customFormat="1" ht="18.75" customHeight="1">
      <c r="A98" s="139"/>
      <c r="B98" s="140"/>
      <c r="C98" s="140"/>
      <c r="D98" s="20" t="s">
        <v>428</v>
      </c>
      <c r="E98" s="140"/>
      <c r="F98" s="141"/>
      <c r="G98" s="142"/>
      <c r="H98" s="4" t="s">
        <v>429</v>
      </c>
      <c r="I98" s="22"/>
      <c r="J98" s="9"/>
      <c r="K98" s="9"/>
      <c r="L98" s="9"/>
      <c r="M98" s="9">
        <v>961000</v>
      </c>
      <c r="N98" s="145"/>
      <c r="O98" s="145"/>
      <c r="P98" s="145"/>
      <c r="Q98" s="145"/>
    </row>
    <row r="99" spans="1:17" s="144" customFormat="1" ht="18" customHeight="1">
      <c r="A99" s="139"/>
      <c r="B99" s="140"/>
      <c r="C99" s="140"/>
      <c r="D99" s="20" t="s">
        <v>254</v>
      </c>
      <c r="E99" s="140"/>
      <c r="F99" s="141"/>
      <c r="G99" s="142"/>
      <c r="H99" s="4" t="s">
        <v>11</v>
      </c>
      <c r="I99" s="22">
        <v>192729.75</v>
      </c>
      <c r="J99" s="9">
        <v>44130.63</v>
      </c>
      <c r="K99" s="9">
        <f>200000-J99</f>
        <v>155869.37</v>
      </c>
      <c r="L99" s="9">
        <f t="shared" si="6"/>
        <v>200000</v>
      </c>
      <c r="M99" s="9">
        <v>200000</v>
      </c>
      <c r="N99" s="145"/>
      <c r="O99" s="145"/>
      <c r="P99" s="145"/>
      <c r="Q99" s="145"/>
    </row>
    <row r="100" spans="1:17" s="144" customFormat="1" ht="18" customHeight="1">
      <c r="A100" s="139"/>
      <c r="B100" s="140"/>
      <c r="C100" s="140"/>
      <c r="D100" s="20" t="s">
        <v>255</v>
      </c>
      <c r="E100" s="140"/>
      <c r="F100" s="141"/>
      <c r="G100" s="142"/>
      <c r="H100" s="4" t="s">
        <v>12</v>
      </c>
      <c r="I100" s="22">
        <v>22000</v>
      </c>
      <c r="J100" s="9">
        <v>10000</v>
      </c>
      <c r="K100" s="9">
        <f>30000-J100</f>
        <v>20000</v>
      </c>
      <c r="L100" s="9">
        <f t="shared" si="6"/>
        <v>30000</v>
      </c>
      <c r="M100" s="9">
        <v>30000</v>
      </c>
      <c r="N100" s="145"/>
      <c r="O100" s="145"/>
      <c r="P100" s="145"/>
      <c r="Q100" s="145"/>
    </row>
    <row r="101" spans="1:17" s="144" customFormat="1" ht="18" customHeight="1">
      <c r="A101" s="139"/>
      <c r="B101" s="140"/>
      <c r="C101" s="140"/>
      <c r="D101" s="20" t="s">
        <v>295</v>
      </c>
      <c r="E101" s="140"/>
      <c r="F101" s="141"/>
      <c r="G101" s="142"/>
      <c r="H101" s="4" t="s">
        <v>13</v>
      </c>
      <c r="I101" s="22">
        <v>94730</v>
      </c>
      <c r="J101" s="9">
        <v>0</v>
      </c>
      <c r="K101" s="9">
        <f>100000-J101</f>
        <v>100000</v>
      </c>
      <c r="L101" s="9">
        <f t="shared" si="6"/>
        <v>100000</v>
      </c>
      <c r="M101" s="9">
        <v>100000</v>
      </c>
      <c r="N101" s="145"/>
      <c r="O101" s="145"/>
      <c r="P101" s="145"/>
      <c r="Q101" s="145"/>
    </row>
    <row r="102" spans="1:17" s="144" customFormat="1" ht="18" customHeight="1">
      <c r="A102" s="139"/>
      <c r="B102" s="140"/>
      <c r="C102" s="140"/>
      <c r="D102" s="20" t="s">
        <v>283</v>
      </c>
      <c r="E102" s="140"/>
      <c r="F102" s="141"/>
      <c r="G102" s="142"/>
      <c r="H102" s="4" t="s">
        <v>14</v>
      </c>
      <c r="I102" s="22">
        <v>0</v>
      </c>
      <c r="J102" s="9">
        <v>0</v>
      </c>
      <c r="K102" s="9">
        <f>0-J102</f>
        <v>0</v>
      </c>
      <c r="L102" s="9">
        <f t="shared" si="6"/>
        <v>0</v>
      </c>
      <c r="M102" s="9">
        <v>204000</v>
      </c>
      <c r="N102" s="145"/>
      <c r="O102" s="145"/>
      <c r="P102" s="145"/>
      <c r="Q102" s="145"/>
    </row>
    <row r="103" spans="1:17" s="144" customFormat="1" ht="18" customHeight="1">
      <c r="A103" s="139"/>
      <c r="B103" s="140"/>
      <c r="C103" s="140"/>
      <c r="D103" s="20" t="s">
        <v>310</v>
      </c>
      <c r="E103" s="140"/>
      <c r="F103" s="141"/>
      <c r="G103" s="142"/>
      <c r="H103" s="4" t="s">
        <v>70</v>
      </c>
      <c r="I103" s="22">
        <f>137572.38+99917.4</f>
        <v>237489.78</v>
      </c>
      <c r="J103" s="9">
        <v>199700</v>
      </c>
      <c r="K103" s="9">
        <f>250000-J103</f>
        <v>50300</v>
      </c>
      <c r="L103" s="9">
        <f t="shared" si="6"/>
        <v>250000</v>
      </c>
      <c r="M103" s="9">
        <v>250000</v>
      </c>
      <c r="N103" s="145"/>
      <c r="O103" s="145"/>
      <c r="P103" s="145"/>
      <c r="Q103" s="145"/>
    </row>
    <row r="104" spans="1:17" s="144" customFormat="1" ht="18" customHeight="1">
      <c r="A104" s="139"/>
      <c r="B104" s="140"/>
      <c r="C104" s="140"/>
      <c r="D104" s="20" t="s">
        <v>257</v>
      </c>
      <c r="E104" s="140"/>
      <c r="F104" s="141"/>
      <c r="G104" s="142"/>
      <c r="H104" s="4" t="s">
        <v>72</v>
      </c>
      <c r="I104" s="22">
        <v>27260</v>
      </c>
      <c r="J104" s="9">
        <v>7500</v>
      </c>
      <c r="K104" s="9">
        <f>30000-J104</f>
        <v>22500</v>
      </c>
      <c r="L104" s="9">
        <f t="shared" si="6"/>
        <v>30000</v>
      </c>
      <c r="M104" s="9">
        <v>30000</v>
      </c>
      <c r="N104" s="145"/>
      <c r="O104" s="145"/>
      <c r="P104" s="145"/>
      <c r="Q104" s="145"/>
    </row>
    <row r="105" spans="1:17" s="144" customFormat="1" ht="18" customHeight="1">
      <c r="A105" s="139"/>
      <c r="B105" s="140"/>
      <c r="C105" s="140"/>
      <c r="D105" s="20" t="s">
        <v>258</v>
      </c>
      <c r="E105" s="140"/>
      <c r="F105" s="141"/>
      <c r="G105" s="142"/>
      <c r="H105" s="4" t="s">
        <v>73</v>
      </c>
      <c r="I105" s="22">
        <v>125500</v>
      </c>
      <c r="J105" s="9">
        <v>63000</v>
      </c>
      <c r="K105" s="9">
        <f>126000-J105</f>
        <v>63000</v>
      </c>
      <c r="L105" s="9">
        <f t="shared" si="6"/>
        <v>126000</v>
      </c>
      <c r="M105" s="9">
        <v>252000</v>
      </c>
      <c r="N105" s="145"/>
      <c r="O105" s="145"/>
      <c r="P105" s="145"/>
      <c r="Q105" s="145"/>
    </row>
    <row r="106" spans="1:17" s="144" customFormat="1" ht="18" customHeight="1">
      <c r="A106" s="139"/>
      <c r="B106" s="140"/>
      <c r="C106" s="140"/>
      <c r="D106" s="26" t="s">
        <v>335</v>
      </c>
      <c r="E106" s="140"/>
      <c r="F106" s="141"/>
      <c r="G106" s="142"/>
      <c r="H106" s="8" t="s">
        <v>74</v>
      </c>
      <c r="I106" s="30">
        <v>0</v>
      </c>
      <c r="J106" s="27">
        <v>0</v>
      </c>
      <c r="K106" s="27">
        <f>0-J106</f>
        <v>0</v>
      </c>
      <c r="L106" s="27">
        <f t="shared" si="6"/>
        <v>0</v>
      </c>
      <c r="M106" s="27">
        <v>50000</v>
      </c>
      <c r="N106" s="145"/>
      <c r="O106" s="145"/>
      <c r="P106" s="145"/>
      <c r="Q106" s="145"/>
    </row>
    <row r="107" spans="1:17" s="144" customFormat="1" ht="18" customHeight="1">
      <c r="A107" s="139"/>
      <c r="B107" s="140"/>
      <c r="C107" s="140"/>
      <c r="D107" s="20" t="s">
        <v>260</v>
      </c>
      <c r="E107" s="140"/>
      <c r="F107" s="141"/>
      <c r="G107" s="142"/>
      <c r="H107" s="4" t="s">
        <v>75</v>
      </c>
      <c r="I107" s="22">
        <f>121100+23000</f>
        <v>144100</v>
      </c>
      <c r="J107" s="9">
        <v>0</v>
      </c>
      <c r="K107" s="9">
        <f>0-J107</f>
        <v>0</v>
      </c>
      <c r="L107" s="9">
        <f t="shared" si="6"/>
        <v>0</v>
      </c>
      <c r="M107" s="9">
        <v>350000</v>
      </c>
      <c r="N107" s="145"/>
      <c r="O107" s="145"/>
      <c r="P107" s="145"/>
      <c r="Q107" s="145"/>
    </row>
    <row r="108" spans="1:17" s="144" customFormat="1" ht="16.5">
      <c r="A108" s="139"/>
      <c r="B108" s="140"/>
      <c r="C108" s="140"/>
      <c r="D108" s="20" t="s">
        <v>300</v>
      </c>
      <c r="E108" s="140"/>
      <c r="F108" s="141"/>
      <c r="G108" s="142"/>
      <c r="H108" s="4" t="s">
        <v>76</v>
      </c>
      <c r="I108" s="22">
        <v>1284000</v>
      </c>
      <c r="J108" s="9">
        <v>768000</v>
      </c>
      <c r="K108" s="9">
        <f>1584000-J108</f>
        <v>816000</v>
      </c>
      <c r="L108" s="9">
        <f t="shared" si="6"/>
        <v>1584000</v>
      </c>
      <c r="M108" s="9">
        <v>1584000</v>
      </c>
      <c r="N108" s="145"/>
      <c r="O108" s="145"/>
      <c r="P108" s="145"/>
      <c r="Q108" s="145"/>
    </row>
    <row r="109" spans="1:17" s="144" customFormat="1" ht="18" customHeight="1">
      <c r="A109" s="139"/>
      <c r="B109" s="140"/>
      <c r="C109" s="140"/>
      <c r="D109" s="20" t="s">
        <v>256</v>
      </c>
      <c r="E109" s="140"/>
      <c r="F109" s="141"/>
      <c r="G109" s="142"/>
      <c r="H109" s="4" t="s">
        <v>77</v>
      </c>
      <c r="I109" s="22">
        <v>0</v>
      </c>
      <c r="J109" s="9">
        <v>0</v>
      </c>
      <c r="K109" s="9">
        <f>0-J109</f>
        <v>0</v>
      </c>
      <c r="L109" s="9">
        <f t="shared" si="6"/>
        <v>0</v>
      </c>
      <c r="M109" s="9">
        <v>135000</v>
      </c>
      <c r="N109" s="145"/>
      <c r="O109" s="145"/>
      <c r="P109" s="145"/>
      <c r="Q109" s="145"/>
    </row>
    <row r="110" spans="1:17" s="144" customFormat="1" ht="28.5" customHeight="1">
      <c r="A110" s="139"/>
      <c r="B110" s="140"/>
      <c r="C110" s="140"/>
      <c r="D110" s="384" t="s">
        <v>261</v>
      </c>
      <c r="E110" s="384"/>
      <c r="F110" s="385"/>
      <c r="G110" s="142"/>
      <c r="H110" s="4" t="s">
        <v>78</v>
      </c>
      <c r="I110" s="22">
        <v>243726</v>
      </c>
      <c r="J110" s="9">
        <v>0</v>
      </c>
      <c r="K110" s="9">
        <f>243726-J110</f>
        <v>243726</v>
      </c>
      <c r="L110" s="9">
        <f t="shared" si="6"/>
        <v>243726</v>
      </c>
      <c r="M110" s="9">
        <v>316430</v>
      </c>
      <c r="N110" s="145"/>
      <c r="O110" s="145"/>
      <c r="P110" s="145"/>
      <c r="Q110" s="145"/>
    </row>
    <row r="111" spans="1:17" s="144" customFormat="1" ht="18" customHeight="1">
      <c r="A111" s="139"/>
      <c r="B111" s="140"/>
      <c r="C111" s="140"/>
      <c r="D111" s="23" t="s">
        <v>302</v>
      </c>
      <c r="E111" s="140"/>
      <c r="F111" s="141"/>
      <c r="G111" s="142"/>
      <c r="H111" s="4" t="s">
        <v>79</v>
      </c>
      <c r="I111" s="24">
        <v>180000</v>
      </c>
      <c r="J111" s="25">
        <v>0</v>
      </c>
      <c r="K111" s="9">
        <f>180000-J111</f>
        <v>180000</v>
      </c>
      <c r="L111" s="9">
        <f t="shared" si="6"/>
        <v>180000</v>
      </c>
      <c r="M111" s="25">
        <v>187200</v>
      </c>
      <c r="N111" s="145"/>
      <c r="O111" s="145"/>
      <c r="P111" s="145"/>
      <c r="Q111" s="145"/>
    </row>
    <row r="112" spans="1:17" s="144" customFormat="1" ht="18" customHeight="1">
      <c r="A112" s="139"/>
      <c r="B112" s="140"/>
      <c r="C112" s="140"/>
      <c r="D112" s="23" t="s">
        <v>317</v>
      </c>
      <c r="E112" s="140"/>
      <c r="F112" s="141"/>
      <c r="G112" s="142"/>
      <c r="H112" s="4" t="s">
        <v>352</v>
      </c>
      <c r="I112" s="24">
        <v>270000</v>
      </c>
      <c r="J112" s="25">
        <v>0</v>
      </c>
      <c r="K112" s="9">
        <f>558000-J112</f>
        <v>558000</v>
      </c>
      <c r="L112" s="9">
        <f>K112+J112</f>
        <v>558000</v>
      </c>
      <c r="M112" s="25">
        <v>600000</v>
      </c>
      <c r="N112" s="145"/>
      <c r="O112" s="145"/>
      <c r="P112" s="145"/>
      <c r="Q112" s="145"/>
    </row>
    <row r="113" spans="1:17" s="144" customFormat="1" ht="18" customHeight="1">
      <c r="A113" s="139"/>
      <c r="B113" s="140"/>
      <c r="C113" s="140"/>
      <c r="D113" s="23" t="s">
        <v>406</v>
      </c>
      <c r="E113" s="140"/>
      <c r="F113" s="141"/>
      <c r="G113" s="142"/>
      <c r="H113" s="4" t="s">
        <v>318</v>
      </c>
      <c r="I113" s="24">
        <v>1377600</v>
      </c>
      <c r="J113" s="25">
        <v>1302000</v>
      </c>
      <c r="K113" s="9">
        <f>1764000-J113</f>
        <v>462000</v>
      </c>
      <c r="L113" s="9">
        <f>K113+J113</f>
        <v>1764000</v>
      </c>
      <c r="M113" s="25">
        <v>1400000</v>
      </c>
      <c r="N113" s="145"/>
      <c r="O113" s="145"/>
      <c r="P113" s="145"/>
      <c r="Q113" s="145"/>
    </row>
    <row r="114" spans="1:17" s="144" customFormat="1" ht="18" customHeight="1">
      <c r="A114" s="139"/>
      <c r="B114" s="140"/>
      <c r="C114" s="140"/>
      <c r="D114" s="26" t="s">
        <v>330</v>
      </c>
      <c r="E114" s="140"/>
      <c r="F114" s="141"/>
      <c r="G114" s="142"/>
      <c r="H114" s="4" t="s">
        <v>353</v>
      </c>
      <c r="I114" s="30">
        <v>70585</v>
      </c>
      <c r="J114" s="27">
        <v>98000</v>
      </c>
      <c r="K114" s="9">
        <f>100000-J114</f>
        <v>2000</v>
      </c>
      <c r="L114" s="9">
        <f t="shared" si="6"/>
        <v>100000</v>
      </c>
      <c r="M114" s="27">
        <v>100000</v>
      </c>
      <c r="N114" s="145"/>
      <c r="O114" s="145"/>
      <c r="P114" s="145"/>
      <c r="Q114" s="145"/>
    </row>
    <row r="115" spans="1:17" s="159" customFormat="1" ht="16.5">
      <c r="A115" s="153"/>
      <c r="B115" s="154"/>
      <c r="C115" s="154"/>
      <c r="D115" s="26" t="s">
        <v>333</v>
      </c>
      <c r="E115" s="140"/>
      <c r="F115" s="141"/>
      <c r="G115" s="142"/>
      <c r="H115" s="4" t="s">
        <v>319</v>
      </c>
      <c r="I115" s="29">
        <v>1220000</v>
      </c>
      <c r="J115" s="28">
        <v>315000</v>
      </c>
      <c r="K115" s="9">
        <f>1260000-J115</f>
        <v>945000</v>
      </c>
      <c r="L115" s="9">
        <f t="shared" si="6"/>
        <v>1260000</v>
      </c>
      <c r="M115" s="28">
        <v>1260000</v>
      </c>
      <c r="N115" s="158"/>
      <c r="O115" s="158"/>
      <c r="P115" s="158"/>
      <c r="Q115" s="158"/>
    </row>
    <row r="116" spans="1:17" s="144" customFormat="1" ht="18" customHeight="1">
      <c r="A116" s="139"/>
      <c r="B116" s="140"/>
      <c r="C116" s="140"/>
      <c r="D116" s="26" t="s">
        <v>259</v>
      </c>
      <c r="E116" s="140"/>
      <c r="F116" s="141"/>
      <c r="G116" s="142"/>
      <c r="H116" s="4" t="s">
        <v>331</v>
      </c>
      <c r="I116" s="29">
        <v>0</v>
      </c>
      <c r="J116" s="27"/>
      <c r="K116" s="9">
        <f>8000-J116</f>
        <v>8000</v>
      </c>
      <c r="L116" s="9">
        <f t="shared" si="6"/>
        <v>8000</v>
      </c>
      <c r="M116" s="27">
        <v>75000</v>
      </c>
      <c r="N116" s="145"/>
      <c r="O116" s="145"/>
      <c r="P116" s="145"/>
      <c r="Q116" s="145"/>
    </row>
    <row r="117" spans="1:17" s="144" customFormat="1" ht="18" customHeight="1">
      <c r="A117" s="139"/>
      <c r="B117" s="140"/>
      <c r="C117" s="140"/>
      <c r="D117" s="384" t="s">
        <v>336</v>
      </c>
      <c r="E117" s="384"/>
      <c r="F117" s="385"/>
      <c r="G117" s="155"/>
      <c r="H117" s="69" t="s">
        <v>334</v>
      </c>
      <c r="I117" s="156">
        <v>1200000</v>
      </c>
      <c r="J117" s="157">
        <v>590000</v>
      </c>
      <c r="K117" s="71">
        <f>1200000-J117</f>
        <v>610000</v>
      </c>
      <c r="L117" s="71">
        <f t="shared" si="6"/>
        <v>1200000</v>
      </c>
      <c r="M117" s="157">
        <v>1500000</v>
      </c>
      <c r="N117" s="145"/>
      <c r="O117" s="145"/>
      <c r="P117" s="145"/>
      <c r="Q117" s="145"/>
    </row>
    <row r="118" spans="1:17" s="144" customFormat="1" ht="18" customHeight="1">
      <c r="A118" s="139"/>
      <c r="B118" s="140"/>
      <c r="C118" s="140"/>
      <c r="D118" s="26" t="s">
        <v>407</v>
      </c>
      <c r="E118" s="140"/>
      <c r="F118" s="141"/>
      <c r="G118" s="142"/>
      <c r="H118" s="4" t="s">
        <v>337</v>
      </c>
      <c r="I118" s="29"/>
      <c r="J118" s="27">
        <v>0</v>
      </c>
      <c r="K118" s="9">
        <f>150000-J118</f>
        <v>150000</v>
      </c>
      <c r="L118" s="9">
        <f t="shared" si="6"/>
        <v>150000</v>
      </c>
      <c r="M118" s="27">
        <v>150000</v>
      </c>
      <c r="N118" s="145"/>
      <c r="O118" s="145"/>
      <c r="P118" s="145"/>
      <c r="Q118" s="145"/>
    </row>
    <row r="119" spans="1:17" s="144" customFormat="1" ht="18" customHeight="1">
      <c r="A119" s="139"/>
      <c r="B119" s="140"/>
      <c r="C119" s="140"/>
      <c r="D119" s="20" t="s">
        <v>134</v>
      </c>
      <c r="E119" s="20"/>
      <c r="F119" s="21"/>
      <c r="G119" s="142"/>
      <c r="H119" s="4">
        <v>6911</v>
      </c>
      <c r="I119" s="22">
        <f>3426446.54+27679056.43+236426.71+2328492.58</f>
        <v>33670422.259999998</v>
      </c>
      <c r="J119" s="9">
        <v>18944977.93</v>
      </c>
      <c r="K119" s="9">
        <f>18842336.33+21023981.87-J119</f>
        <v>20921340.270000003</v>
      </c>
      <c r="L119" s="9">
        <f>K119+J119</f>
        <v>39866318.200000003</v>
      </c>
      <c r="M119" s="9">
        <v>47361741.200000003</v>
      </c>
      <c r="N119" s="145"/>
      <c r="O119" s="145"/>
      <c r="P119" s="145"/>
      <c r="Q119" s="145"/>
    </row>
    <row r="120" spans="1:17" s="144" customFormat="1" ht="18" customHeight="1">
      <c r="A120" s="139"/>
      <c r="B120" s="140"/>
      <c r="C120" s="140"/>
      <c r="D120" s="20" t="s">
        <v>34</v>
      </c>
      <c r="E120" s="20"/>
      <c r="F120" s="21"/>
      <c r="G120" s="142"/>
      <c r="H120" s="4">
        <v>9998</v>
      </c>
      <c r="I120" s="22">
        <f>1049500.5+3703676.57</f>
        <v>4753177.07</v>
      </c>
      <c r="J120" s="9">
        <v>4235122</v>
      </c>
      <c r="K120" s="9">
        <f>5080420.47+5952699.53-J120</f>
        <v>6797998</v>
      </c>
      <c r="L120" s="9">
        <f t="shared" ref="L120:L122" si="7">K120+J120</f>
        <v>11033120</v>
      </c>
      <c r="M120" s="9">
        <v>12963435.300000001</v>
      </c>
      <c r="N120" s="145"/>
      <c r="O120" s="145"/>
      <c r="P120" s="145"/>
      <c r="Q120" s="145"/>
    </row>
    <row r="121" spans="1:17" s="144" customFormat="1" ht="18" customHeight="1">
      <c r="A121" s="139"/>
      <c r="B121" s="140"/>
      <c r="C121" s="140"/>
      <c r="D121" s="20" t="s">
        <v>135</v>
      </c>
      <c r="E121" s="20"/>
      <c r="F121" s="21"/>
      <c r="G121" s="142"/>
      <c r="H121" s="4">
        <v>9995</v>
      </c>
      <c r="I121" s="22">
        <v>21000</v>
      </c>
      <c r="J121" s="9">
        <v>0</v>
      </c>
      <c r="K121" s="9">
        <f>21000-J121</f>
        <v>21000</v>
      </c>
      <c r="L121" s="9">
        <f t="shared" si="7"/>
        <v>21000</v>
      </c>
      <c r="M121" s="9">
        <v>21000</v>
      </c>
      <c r="N121" s="145"/>
      <c r="O121" s="145"/>
      <c r="P121" s="145"/>
      <c r="Q121" s="145"/>
    </row>
    <row r="122" spans="1:17" s="144" customFormat="1" ht="18" customHeight="1">
      <c r="A122" s="139"/>
      <c r="B122" s="140"/>
      <c r="C122" s="140"/>
      <c r="D122" s="20" t="s">
        <v>266</v>
      </c>
      <c r="E122" s="20"/>
      <c r="F122" s="21"/>
      <c r="G122" s="142"/>
      <c r="H122" s="4" t="s">
        <v>81</v>
      </c>
      <c r="I122" s="22">
        <f>3236389.42+22970+110304.5</f>
        <v>3369663.92</v>
      </c>
      <c r="J122" s="9">
        <v>356830.4</v>
      </c>
      <c r="K122" s="9">
        <f>3792692.1-J122</f>
        <v>3435861.7</v>
      </c>
      <c r="L122" s="9">
        <f t="shared" si="7"/>
        <v>3792692.1</v>
      </c>
      <c r="M122" s="9">
        <v>5000000</v>
      </c>
      <c r="N122" s="145"/>
      <c r="O122" s="145"/>
      <c r="P122" s="145"/>
      <c r="Q122" s="145"/>
    </row>
    <row r="123" spans="1:17" s="144" customFormat="1" ht="18" customHeight="1">
      <c r="A123" s="139"/>
      <c r="B123" s="140"/>
      <c r="C123" s="140"/>
      <c r="D123" s="20" t="s">
        <v>274</v>
      </c>
      <c r="E123" s="20"/>
      <c r="F123" s="21"/>
      <c r="G123" s="142"/>
      <c r="H123" s="4" t="s">
        <v>80</v>
      </c>
      <c r="I123" s="22"/>
      <c r="J123" s="9"/>
      <c r="K123" s="9"/>
      <c r="L123" s="9"/>
      <c r="M123" s="9"/>
      <c r="N123" s="145"/>
      <c r="O123" s="145"/>
      <c r="P123" s="145"/>
      <c r="Q123" s="145"/>
    </row>
    <row r="124" spans="1:17" s="144" customFormat="1" ht="18" customHeight="1">
      <c r="A124" s="139"/>
      <c r="B124" s="140"/>
      <c r="C124" s="140"/>
      <c r="D124" s="20" t="s">
        <v>275</v>
      </c>
      <c r="E124" s="20"/>
      <c r="F124" s="21"/>
      <c r="G124" s="142"/>
      <c r="H124" s="4" t="s">
        <v>82</v>
      </c>
      <c r="I124" s="22">
        <v>544189.85</v>
      </c>
      <c r="J124" s="9">
        <v>331060</v>
      </c>
      <c r="K124" s="9">
        <f>722000-J124</f>
        <v>390940</v>
      </c>
      <c r="L124" s="9">
        <f t="shared" ref="L124:L130" si="8">K124+J124</f>
        <v>722000</v>
      </c>
      <c r="M124" s="9">
        <v>722000</v>
      </c>
      <c r="N124" s="145"/>
      <c r="O124" s="145"/>
      <c r="P124" s="145"/>
      <c r="Q124" s="145"/>
    </row>
    <row r="125" spans="1:17" s="144" customFormat="1" ht="18" customHeight="1">
      <c r="A125" s="139"/>
      <c r="B125" s="140"/>
      <c r="C125" s="140"/>
      <c r="D125" s="20" t="s">
        <v>276</v>
      </c>
      <c r="E125" s="20"/>
      <c r="F125" s="21"/>
      <c r="G125" s="142"/>
      <c r="H125" s="4" t="s">
        <v>83</v>
      </c>
      <c r="I125" s="22">
        <v>320662</v>
      </c>
      <c r="J125" s="9">
        <v>201523.72</v>
      </c>
      <c r="K125" s="9">
        <f>415000-J125</f>
        <v>213476.28</v>
      </c>
      <c r="L125" s="9">
        <f t="shared" si="8"/>
        <v>415000</v>
      </c>
      <c r="M125" s="9">
        <v>415000</v>
      </c>
      <c r="N125" s="145"/>
      <c r="O125" s="145"/>
      <c r="P125" s="145"/>
      <c r="Q125" s="145"/>
    </row>
    <row r="126" spans="1:17" s="144" customFormat="1" ht="18" customHeight="1">
      <c r="A126" s="139"/>
      <c r="B126" s="140"/>
      <c r="C126" s="140"/>
      <c r="D126" s="20" t="s">
        <v>277</v>
      </c>
      <c r="E126" s="20"/>
      <c r="F126" s="21"/>
      <c r="G126" s="142"/>
      <c r="H126" s="4" t="s">
        <v>84</v>
      </c>
      <c r="I126" s="22">
        <v>474479</v>
      </c>
      <c r="J126" s="9">
        <v>242791.06</v>
      </c>
      <c r="K126" s="9">
        <f>476010+62990-J126</f>
        <v>296208.94</v>
      </c>
      <c r="L126" s="9">
        <f t="shared" si="8"/>
        <v>539000</v>
      </c>
      <c r="M126" s="9">
        <v>1007087.06</v>
      </c>
      <c r="N126" s="145"/>
      <c r="O126" s="145"/>
      <c r="P126" s="145"/>
      <c r="Q126" s="145"/>
    </row>
    <row r="127" spans="1:17" s="144" customFormat="1" ht="18" customHeight="1">
      <c r="A127" s="139"/>
      <c r="B127" s="140"/>
      <c r="C127" s="140"/>
      <c r="D127" s="20" t="s">
        <v>278</v>
      </c>
      <c r="E127" s="20"/>
      <c r="F127" s="21"/>
      <c r="G127" s="142"/>
      <c r="H127" s="4" t="s">
        <v>85</v>
      </c>
      <c r="I127" s="22">
        <v>198953.63</v>
      </c>
      <c r="J127" s="9">
        <v>39960</v>
      </c>
      <c r="K127" s="9">
        <f>443315.91-J127</f>
        <v>403355.91</v>
      </c>
      <c r="L127" s="9">
        <f t="shared" si="8"/>
        <v>443315.91</v>
      </c>
      <c r="M127" s="9">
        <v>224000</v>
      </c>
      <c r="N127" s="145"/>
      <c r="O127" s="145"/>
      <c r="P127" s="145"/>
      <c r="Q127" s="145"/>
    </row>
    <row r="128" spans="1:17" s="144" customFormat="1" ht="23.25" customHeight="1">
      <c r="A128" s="139"/>
      <c r="B128" s="140"/>
      <c r="C128" s="140"/>
      <c r="D128" s="384" t="s">
        <v>297</v>
      </c>
      <c r="E128" s="384"/>
      <c r="F128" s="385"/>
      <c r="G128" s="155"/>
      <c r="H128" s="69" t="s">
        <v>86</v>
      </c>
      <c r="I128" s="70">
        <f>1106901+428550+113520</f>
        <v>1648971</v>
      </c>
      <c r="J128" s="71">
        <v>259882</v>
      </c>
      <c r="K128" s="71">
        <f>1993315.91-J128</f>
        <v>1733433.91</v>
      </c>
      <c r="L128" s="71">
        <f>K128+J128</f>
        <v>1993315.91</v>
      </c>
      <c r="M128" s="71">
        <v>2368087.06</v>
      </c>
      <c r="N128" s="145"/>
      <c r="O128" s="145"/>
      <c r="P128" s="145"/>
      <c r="Q128" s="145"/>
    </row>
    <row r="129" spans="1:17" s="144" customFormat="1" ht="32.25" customHeight="1">
      <c r="A129" s="139"/>
      <c r="B129" s="140"/>
      <c r="C129" s="140"/>
      <c r="D129" s="384" t="s">
        <v>279</v>
      </c>
      <c r="E129" s="384"/>
      <c r="F129" s="385"/>
      <c r="G129" s="155"/>
      <c r="H129" s="69" t="s">
        <v>430</v>
      </c>
      <c r="I129" s="70">
        <f>8203683.83+2250</f>
        <v>8205933.8300000001</v>
      </c>
      <c r="J129" s="71">
        <v>2414824</v>
      </c>
      <c r="K129" s="71">
        <f>6669790.885-J129</f>
        <v>4254966.8849999998</v>
      </c>
      <c r="L129" s="71">
        <f t="shared" si="8"/>
        <v>6669790.8849999998</v>
      </c>
      <c r="M129" s="71">
        <v>8000000</v>
      </c>
      <c r="N129" s="145"/>
      <c r="O129" s="145"/>
      <c r="P129" s="145"/>
      <c r="Q129" s="145"/>
    </row>
    <row r="130" spans="1:17" s="144" customFormat="1" ht="24.75" customHeight="1">
      <c r="A130" s="139"/>
      <c r="B130" s="140"/>
      <c r="C130" s="140"/>
      <c r="D130" s="384" t="s">
        <v>279</v>
      </c>
      <c r="E130" s="384"/>
      <c r="F130" s="385"/>
      <c r="G130" s="155"/>
      <c r="H130" s="69" t="s">
        <v>431</v>
      </c>
      <c r="I130" s="70"/>
      <c r="J130" s="71">
        <v>189045.19</v>
      </c>
      <c r="K130" s="71">
        <f>901455+62545-J130</f>
        <v>774954.81</v>
      </c>
      <c r="L130" s="71">
        <f t="shared" si="8"/>
        <v>964000</v>
      </c>
      <c r="M130" s="71">
        <v>400000</v>
      </c>
      <c r="N130" s="145"/>
      <c r="O130" s="145"/>
      <c r="P130" s="145"/>
      <c r="Q130" s="145"/>
    </row>
    <row r="131" spans="1:17" s="144" customFormat="1" ht="18" customHeight="1">
      <c r="A131" s="160"/>
      <c r="B131" s="161"/>
      <c r="C131" s="161"/>
      <c r="D131" s="140" t="s">
        <v>416</v>
      </c>
      <c r="E131" s="131"/>
      <c r="F131" s="132"/>
      <c r="G131" s="162"/>
      <c r="H131" s="69"/>
      <c r="I131" s="165">
        <f>SUM(I90:I130)</f>
        <v>61924504.759999998</v>
      </c>
      <c r="J131" s="165">
        <f>SUM(J90:J130)</f>
        <v>31445483.379999995</v>
      </c>
      <c r="K131" s="165">
        <f>SUM(K90:K130)</f>
        <v>44968795.625</v>
      </c>
      <c r="L131" s="165">
        <f>SUM(L90:L130)</f>
        <v>76414279.00500001</v>
      </c>
      <c r="M131" s="165">
        <f>SUM(M90:M130)</f>
        <v>89426980.620000005</v>
      </c>
      <c r="N131" s="145"/>
      <c r="O131" s="145"/>
      <c r="P131" s="145"/>
      <c r="Q131" s="145"/>
    </row>
    <row r="132" spans="1:17" s="144" customFormat="1" ht="18" customHeight="1">
      <c r="A132" s="186"/>
      <c r="B132" s="186"/>
      <c r="C132" s="186"/>
      <c r="D132" s="100"/>
      <c r="E132" s="187"/>
      <c r="F132" s="187"/>
      <c r="G132" s="188"/>
      <c r="H132" s="189"/>
      <c r="I132" s="190"/>
      <c r="J132" s="190"/>
      <c r="K132" s="190"/>
      <c r="L132" s="190"/>
      <c r="M132" s="190"/>
      <c r="N132" s="145"/>
      <c r="O132" s="145"/>
      <c r="P132" s="145"/>
      <c r="Q132" s="145"/>
    </row>
    <row r="133" spans="1:17" s="144" customFormat="1" ht="18" customHeight="1">
      <c r="A133" s="241" t="s">
        <v>490</v>
      </c>
      <c r="B133" s="241"/>
      <c r="C133" s="241"/>
      <c r="D133" s="241"/>
      <c r="E133" s="241"/>
      <c r="F133" s="241"/>
      <c r="G133" s="241"/>
      <c r="H133" s="241"/>
      <c r="I133" s="241"/>
      <c r="J133" s="241"/>
      <c r="K133" s="241"/>
      <c r="L133" s="241"/>
      <c r="M133" s="241"/>
      <c r="N133" s="145"/>
      <c r="O133" s="145"/>
      <c r="P133" s="145"/>
      <c r="Q133" s="145"/>
    </row>
    <row r="134" spans="1:17" s="144" customFormat="1" ht="18" customHeight="1">
      <c r="A134" s="93"/>
      <c r="B134" s="94"/>
      <c r="C134" s="93"/>
      <c r="D134" s="93"/>
      <c r="E134" s="93"/>
      <c r="F134" s="95"/>
      <c r="G134" s="93"/>
      <c r="H134" s="96"/>
      <c r="I134" s="96"/>
      <c r="J134" s="92"/>
      <c r="K134" s="61"/>
      <c r="L134" s="61"/>
      <c r="M134" s="55"/>
      <c r="N134" s="145"/>
      <c r="O134" s="145"/>
      <c r="P134" s="145"/>
      <c r="Q134" s="145"/>
    </row>
    <row r="135" spans="1:17" s="144" customFormat="1" ht="18" customHeight="1">
      <c r="A135" s="242" t="s">
        <v>491</v>
      </c>
      <c r="B135" s="242"/>
      <c r="C135" s="92"/>
      <c r="D135" s="242"/>
      <c r="E135" s="242"/>
      <c r="F135" s="92"/>
      <c r="G135" s="242"/>
      <c r="H135" s="242"/>
      <c r="I135" s="242" t="s">
        <v>492</v>
      </c>
      <c r="J135" s="242"/>
      <c r="K135" s="242"/>
      <c r="L135" s="242" t="s">
        <v>493</v>
      </c>
      <c r="M135" s="242"/>
      <c r="N135" s="145"/>
      <c r="O135" s="145"/>
      <c r="P135" s="145"/>
      <c r="Q135" s="145"/>
    </row>
    <row r="136" spans="1:17" s="144" customFormat="1" ht="18" customHeight="1">
      <c r="A136" s="93"/>
      <c r="B136" s="94"/>
      <c r="C136" s="92"/>
      <c r="D136" s="93"/>
      <c r="E136" s="93"/>
      <c r="F136" s="92"/>
      <c r="G136" s="93"/>
      <c r="H136" s="92"/>
      <c r="I136" s="93"/>
      <c r="J136" s="96"/>
      <c r="K136" s="60"/>
      <c r="L136" s="95"/>
      <c r="M136" s="61"/>
      <c r="N136" s="145"/>
      <c r="O136" s="145"/>
      <c r="P136" s="145"/>
      <c r="Q136" s="145"/>
    </row>
    <row r="137" spans="1:17" s="144" customFormat="1" ht="18" customHeight="1">
      <c r="A137" s="404" t="s">
        <v>328</v>
      </c>
      <c r="B137" s="404"/>
      <c r="C137" s="404"/>
      <c r="D137" s="404"/>
      <c r="E137" s="404"/>
      <c r="F137" s="404"/>
      <c r="G137" s="94"/>
      <c r="H137" s="243"/>
      <c r="I137" s="404" t="s">
        <v>494</v>
      </c>
      <c r="J137" s="404"/>
      <c r="K137" s="58"/>
      <c r="L137" s="404" t="s">
        <v>328</v>
      </c>
      <c r="M137" s="404"/>
      <c r="N137" s="145"/>
      <c r="O137" s="145"/>
      <c r="P137" s="145"/>
      <c r="Q137" s="145"/>
    </row>
    <row r="138" spans="1:17" s="144" customFormat="1" ht="18" customHeight="1">
      <c r="A138" s="405" t="s">
        <v>495</v>
      </c>
      <c r="B138" s="405"/>
      <c r="C138" s="405"/>
      <c r="D138" s="405"/>
      <c r="E138" s="405"/>
      <c r="F138" s="405"/>
      <c r="G138" s="15"/>
      <c r="H138" s="15"/>
      <c r="I138" s="406" t="s">
        <v>496</v>
      </c>
      <c r="J138" s="406"/>
      <c r="K138" s="15"/>
      <c r="L138" s="405" t="s">
        <v>497</v>
      </c>
      <c r="M138" s="405"/>
      <c r="N138" s="145"/>
      <c r="O138" s="145"/>
      <c r="P138" s="145"/>
      <c r="Q138" s="145"/>
    </row>
    <row r="139" spans="1:17" s="144" customFormat="1" ht="18" customHeight="1">
      <c r="A139" s="407"/>
      <c r="B139" s="407"/>
      <c r="C139" s="407"/>
      <c r="D139" s="407"/>
      <c r="E139" s="407"/>
      <c r="F139" s="407"/>
      <c r="G139" s="407"/>
      <c r="H139" s="407"/>
      <c r="I139" s="407"/>
      <c r="J139" s="407"/>
      <c r="K139" s="407"/>
      <c r="L139" s="407"/>
      <c r="M139" s="407"/>
      <c r="N139" s="145"/>
      <c r="O139" s="145"/>
      <c r="P139" s="145"/>
      <c r="Q139" s="145"/>
    </row>
    <row r="140" spans="1:17" s="144" customFormat="1" ht="18" customHeight="1">
      <c r="A140" s="407"/>
      <c r="B140" s="407"/>
      <c r="C140" s="407"/>
      <c r="D140" s="407"/>
      <c r="E140" s="407"/>
      <c r="F140" s="407"/>
      <c r="G140" s="407"/>
      <c r="H140" s="407"/>
      <c r="I140" s="407"/>
      <c r="J140" s="407"/>
      <c r="K140" s="407"/>
      <c r="L140" s="407"/>
      <c r="M140" s="407"/>
      <c r="N140" s="145"/>
      <c r="O140" s="145"/>
      <c r="P140" s="145"/>
      <c r="Q140" s="145"/>
    </row>
    <row r="141" spans="1:17" s="144" customFormat="1" ht="18" customHeight="1">
      <c r="A141" s="407"/>
      <c r="B141" s="407"/>
      <c r="C141" s="407"/>
      <c r="D141" s="407"/>
      <c r="E141" s="407"/>
      <c r="F141" s="407"/>
      <c r="G141" s="407"/>
      <c r="H141" s="407"/>
      <c r="I141" s="407"/>
      <c r="J141" s="407"/>
      <c r="K141" s="407"/>
      <c r="L141" s="407"/>
      <c r="M141" s="407"/>
      <c r="N141" s="145"/>
      <c r="O141" s="145"/>
      <c r="P141" s="145"/>
      <c r="Q141" s="145"/>
    </row>
    <row r="142" spans="1:17" s="144" customFormat="1" ht="18" customHeight="1">
      <c r="A142" s="399" t="s">
        <v>481</v>
      </c>
      <c r="B142" s="399"/>
      <c r="C142" s="399"/>
      <c r="D142" s="399"/>
      <c r="E142" s="399"/>
      <c r="F142" s="399"/>
      <c r="G142" s="399"/>
      <c r="H142" s="399"/>
      <c r="I142" s="399"/>
      <c r="J142" s="399"/>
      <c r="K142" s="399"/>
      <c r="L142" s="399"/>
      <c r="M142" s="399"/>
      <c r="N142" s="145"/>
      <c r="O142" s="145"/>
      <c r="P142" s="145"/>
      <c r="Q142" s="145"/>
    </row>
    <row r="143" spans="1:17" s="144" customFormat="1" ht="15.75" customHeight="1">
      <c r="A143" s="238"/>
      <c r="B143" s="238"/>
      <c r="C143" s="238"/>
      <c r="D143" s="238"/>
      <c r="E143" s="238"/>
      <c r="F143" s="238"/>
      <c r="G143" s="238"/>
      <c r="H143" s="238"/>
      <c r="I143" s="238"/>
      <c r="J143" s="238"/>
      <c r="K143" s="238"/>
      <c r="L143" s="238"/>
      <c r="M143" s="238"/>
      <c r="N143" s="145"/>
      <c r="O143" s="145"/>
      <c r="P143" s="145"/>
      <c r="Q143" s="145"/>
    </row>
    <row r="144" spans="1:17" s="144" customFormat="1" ht="18" customHeight="1">
      <c r="A144" s="238" t="s">
        <v>482</v>
      </c>
      <c r="B144" s="238"/>
      <c r="C144" s="238"/>
      <c r="D144" s="239"/>
      <c r="E144" s="239"/>
      <c r="F144" s="238" t="s">
        <v>483</v>
      </c>
      <c r="G144" s="238"/>
      <c r="H144" s="238"/>
      <c r="I144" s="238"/>
      <c r="J144" s="238" t="s">
        <v>484</v>
      </c>
      <c r="K144" s="240" t="s">
        <v>528</v>
      </c>
      <c r="L144" s="238"/>
      <c r="M144" s="238"/>
      <c r="N144" s="145"/>
      <c r="O144" s="145"/>
      <c r="P144" s="145"/>
      <c r="Q144" s="145"/>
    </row>
    <row r="145" spans="1:17" s="144" customFormat="1" ht="18" customHeight="1">
      <c r="A145" s="238" t="s">
        <v>485</v>
      </c>
      <c r="B145" s="238"/>
      <c r="C145" s="238"/>
      <c r="D145" s="239"/>
      <c r="E145" s="238"/>
      <c r="F145" s="238" t="s">
        <v>486</v>
      </c>
      <c r="G145" s="238"/>
      <c r="H145" s="238"/>
      <c r="I145" s="238"/>
      <c r="J145" s="238" t="s">
        <v>487</v>
      </c>
      <c r="K145" s="94" t="s">
        <v>488</v>
      </c>
      <c r="L145" s="238"/>
      <c r="M145" s="238"/>
      <c r="N145" s="145"/>
      <c r="O145" s="145"/>
      <c r="P145" s="145"/>
      <c r="Q145" s="145"/>
    </row>
    <row r="146" spans="1:17" s="144" customFormat="1" ht="16.5" thickBot="1">
      <c r="A146" s="238" t="s">
        <v>489</v>
      </c>
      <c r="B146" s="238"/>
      <c r="C146" s="238"/>
      <c r="D146" s="238"/>
      <c r="E146" s="238"/>
      <c r="F146" s="238"/>
      <c r="G146" s="238"/>
      <c r="H146" s="238"/>
      <c r="I146" s="238"/>
      <c r="J146" s="238"/>
      <c r="K146" s="238"/>
      <c r="L146" s="238"/>
      <c r="M146" s="238"/>
      <c r="N146" s="145"/>
      <c r="O146" s="145"/>
      <c r="P146" s="145"/>
      <c r="Q146" s="145"/>
    </row>
    <row r="147" spans="1:17" s="144" customFormat="1" ht="18" customHeight="1">
      <c r="A147" s="192"/>
      <c r="B147" s="193"/>
      <c r="C147" s="193"/>
      <c r="D147" s="193"/>
      <c r="E147" s="193"/>
      <c r="F147" s="194"/>
      <c r="G147" s="195"/>
      <c r="H147" s="196"/>
      <c r="I147" s="196" t="s">
        <v>3</v>
      </c>
      <c r="J147" s="394" t="s">
        <v>188</v>
      </c>
      <c r="K147" s="395"/>
      <c r="L147" s="396"/>
      <c r="M147" s="197" t="s">
        <v>4</v>
      </c>
      <c r="N147" s="145"/>
      <c r="O147" s="145"/>
      <c r="P147" s="145"/>
      <c r="Q147" s="145"/>
    </row>
    <row r="148" spans="1:17" s="144" customFormat="1" ht="18" customHeight="1">
      <c r="A148" s="388"/>
      <c r="B148" s="389"/>
      <c r="C148" s="389"/>
      <c r="D148" s="389"/>
      <c r="E148" s="389"/>
      <c r="F148" s="390"/>
      <c r="G148" s="199"/>
      <c r="H148" s="200"/>
      <c r="I148" s="200">
        <v>2023</v>
      </c>
      <c r="J148" s="200" t="s">
        <v>137</v>
      </c>
      <c r="K148" s="200" t="s">
        <v>138</v>
      </c>
      <c r="L148" s="200">
        <v>2024</v>
      </c>
      <c r="M148" s="201">
        <v>2025</v>
      </c>
      <c r="N148" s="145"/>
      <c r="O148" s="145"/>
      <c r="P148" s="145"/>
      <c r="Q148" s="145"/>
    </row>
    <row r="149" spans="1:17" s="144" customFormat="1" ht="18" customHeight="1">
      <c r="A149" s="388" t="s">
        <v>8</v>
      </c>
      <c r="B149" s="389"/>
      <c r="C149" s="389"/>
      <c r="D149" s="389"/>
      <c r="E149" s="389"/>
      <c r="F149" s="390"/>
      <c r="G149" s="202"/>
      <c r="H149" s="203" t="s">
        <v>186</v>
      </c>
      <c r="I149" s="200" t="s">
        <v>311</v>
      </c>
      <c r="J149" s="200" t="s">
        <v>136</v>
      </c>
      <c r="K149" s="200" t="s">
        <v>139</v>
      </c>
      <c r="L149" s="200" t="s">
        <v>311</v>
      </c>
      <c r="M149" s="201" t="s">
        <v>311</v>
      </c>
      <c r="N149" s="145"/>
      <c r="O149" s="145"/>
      <c r="P149" s="145"/>
      <c r="Q149" s="145"/>
    </row>
    <row r="150" spans="1:17" s="144" customFormat="1" ht="18" customHeight="1">
      <c r="A150" s="204"/>
      <c r="B150" s="99"/>
      <c r="C150" s="99"/>
      <c r="D150" s="99"/>
      <c r="E150" s="99"/>
      <c r="F150" s="205"/>
      <c r="G150" s="202"/>
      <c r="H150" s="200"/>
      <c r="I150" s="200" t="s">
        <v>136</v>
      </c>
      <c r="J150" s="200">
        <v>2024</v>
      </c>
      <c r="K150" s="200">
        <v>2024</v>
      </c>
      <c r="L150" s="200" t="s">
        <v>312</v>
      </c>
      <c r="M150" s="201" t="s">
        <v>140</v>
      </c>
      <c r="N150" s="145"/>
      <c r="O150" s="145"/>
      <c r="P150" s="145"/>
      <c r="Q150" s="145"/>
    </row>
    <row r="151" spans="1:17" s="144" customFormat="1" ht="3.75" customHeight="1" thickBot="1">
      <c r="A151" s="391"/>
      <c r="B151" s="392"/>
      <c r="C151" s="392"/>
      <c r="D151" s="392"/>
      <c r="E151" s="392"/>
      <c r="F151" s="393"/>
      <c r="G151" s="206"/>
      <c r="H151" s="207"/>
      <c r="I151" s="207"/>
      <c r="J151" s="207"/>
      <c r="K151" s="207"/>
      <c r="L151" s="207"/>
      <c r="M151" s="208"/>
      <c r="N151" s="145"/>
      <c r="O151" s="145"/>
      <c r="P151" s="145"/>
      <c r="Q151" s="145"/>
    </row>
    <row r="152" spans="1:17" s="159" customFormat="1" ht="26.25" customHeight="1">
      <c r="A152" s="153"/>
      <c r="B152" s="154"/>
      <c r="C152" s="154"/>
      <c r="D152" s="384" t="s">
        <v>262</v>
      </c>
      <c r="E152" s="384"/>
      <c r="F152" s="385"/>
      <c r="G152" s="155"/>
      <c r="H152" s="69" t="s">
        <v>432</v>
      </c>
      <c r="I152" s="70">
        <v>3994801</v>
      </c>
      <c r="J152" s="71">
        <v>4320934</v>
      </c>
      <c r="K152" s="71">
        <f>7000000-J152</f>
        <v>2679066</v>
      </c>
      <c r="L152" s="71">
        <f t="shared" ref="L152:L197" si="9">K152+J152</f>
        <v>7000000</v>
      </c>
      <c r="M152" s="71">
        <v>8000000</v>
      </c>
      <c r="N152" s="158"/>
      <c r="O152" s="158"/>
      <c r="P152" s="158"/>
      <c r="Q152" s="158"/>
    </row>
    <row r="153" spans="1:17" s="159" customFormat="1" ht="28.5" customHeight="1">
      <c r="A153" s="153"/>
      <c r="B153" s="154"/>
      <c r="C153" s="154"/>
      <c r="D153" s="384" t="s">
        <v>262</v>
      </c>
      <c r="E153" s="384"/>
      <c r="F153" s="385"/>
      <c r="G153" s="155"/>
      <c r="H153" s="69" t="s">
        <v>433</v>
      </c>
      <c r="I153" s="70"/>
      <c r="J153" s="71">
        <v>78065</v>
      </c>
      <c r="K153" s="71">
        <f>550000-J153</f>
        <v>471935</v>
      </c>
      <c r="L153" s="71">
        <f t="shared" si="9"/>
        <v>550000</v>
      </c>
      <c r="M153" s="71">
        <v>200000</v>
      </c>
      <c r="N153" s="158"/>
      <c r="O153" s="158"/>
      <c r="P153" s="158"/>
      <c r="Q153" s="158"/>
    </row>
    <row r="154" spans="1:17" s="159" customFormat="1" ht="38.25" customHeight="1">
      <c r="A154" s="153"/>
      <c r="B154" s="154"/>
      <c r="C154" s="154"/>
      <c r="D154" s="384" t="s">
        <v>434</v>
      </c>
      <c r="E154" s="384"/>
      <c r="F154" s="385"/>
      <c r="G154" s="155"/>
      <c r="H154" s="69" t="s">
        <v>435</v>
      </c>
      <c r="I154" s="70"/>
      <c r="J154" s="71">
        <v>199368</v>
      </c>
      <c r="K154" s="71">
        <f>500000-J154</f>
        <v>300632</v>
      </c>
      <c r="L154" s="71">
        <f t="shared" si="9"/>
        <v>500000</v>
      </c>
      <c r="M154" s="71">
        <v>0</v>
      </c>
      <c r="N154" s="158"/>
      <c r="O154" s="158"/>
      <c r="P154" s="158"/>
      <c r="Q154" s="158"/>
    </row>
    <row r="155" spans="1:17" s="144" customFormat="1" ht="18" customHeight="1">
      <c r="A155" s="139"/>
      <c r="B155" s="140"/>
      <c r="C155" s="140"/>
      <c r="D155" s="20" t="s">
        <v>314</v>
      </c>
      <c r="E155" s="20"/>
      <c r="F155" s="21"/>
      <c r="G155" s="142"/>
      <c r="H155" s="4">
        <v>8821</v>
      </c>
      <c r="I155" s="22">
        <f>5025435.25+193580</f>
        <v>5219015.25</v>
      </c>
      <c r="J155" s="9">
        <v>1856150.38</v>
      </c>
      <c r="K155" s="9">
        <f>5150000-J155</f>
        <v>3293849.62</v>
      </c>
      <c r="L155" s="71">
        <f t="shared" si="9"/>
        <v>5150000</v>
      </c>
      <c r="M155" s="9">
        <v>6500000</v>
      </c>
      <c r="N155" s="145"/>
      <c r="O155" s="145"/>
      <c r="P155" s="145"/>
      <c r="Q155" s="145"/>
    </row>
    <row r="156" spans="1:17" s="144" customFormat="1" ht="18" customHeight="1">
      <c r="A156" s="139"/>
      <c r="B156" s="140"/>
      <c r="C156" s="140"/>
      <c r="D156" s="20" t="s">
        <v>263</v>
      </c>
      <c r="E156" s="20"/>
      <c r="F156" s="21"/>
      <c r="G156" s="142"/>
      <c r="H156" s="4">
        <v>8801</v>
      </c>
      <c r="I156" s="22">
        <v>149950</v>
      </c>
      <c r="J156" s="9">
        <v>469815.76</v>
      </c>
      <c r="K156" s="9">
        <f>500000-J156</f>
        <v>30184.239999999991</v>
      </c>
      <c r="L156" s="9">
        <f t="shared" si="9"/>
        <v>500000</v>
      </c>
      <c r="M156" s="9">
        <v>500000</v>
      </c>
      <c r="N156" s="145"/>
      <c r="O156" s="145"/>
      <c r="P156" s="145"/>
      <c r="Q156" s="145"/>
    </row>
    <row r="157" spans="1:17" s="144" customFormat="1" ht="18" customHeight="1">
      <c r="A157" s="139"/>
      <c r="B157" s="140"/>
      <c r="C157" s="140"/>
      <c r="D157" s="20" t="s">
        <v>281</v>
      </c>
      <c r="E157" s="20"/>
      <c r="F157" s="21"/>
      <c r="G157" s="142"/>
      <c r="H157" s="4">
        <v>8771</v>
      </c>
      <c r="I157" s="22">
        <f>721966.67+880</f>
        <v>722846.67</v>
      </c>
      <c r="J157" s="9">
        <v>407509.26</v>
      </c>
      <c r="K157" s="9">
        <f>900000-J157</f>
        <v>492490.74</v>
      </c>
      <c r="L157" s="9">
        <f t="shared" si="9"/>
        <v>900000</v>
      </c>
      <c r="M157" s="9">
        <v>1000000</v>
      </c>
      <c r="N157" s="145"/>
      <c r="O157" s="145"/>
      <c r="P157" s="145"/>
      <c r="Q157" s="145"/>
    </row>
    <row r="158" spans="1:17" s="144" customFormat="1" ht="18" customHeight="1">
      <c r="A158" s="139"/>
      <c r="B158" s="140"/>
      <c r="C158" s="140"/>
      <c r="D158" s="20" t="s">
        <v>57</v>
      </c>
      <c r="E158" s="20"/>
      <c r="F158" s="21"/>
      <c r="G158" s="142"/>
      <c r="H158" s="4">
        <v>8781</v>
      </c>
      <c r="I158" s="22">
        <v>7864653.8399999999</v>
      </c>
      <c r="J158" s="9">
        <v>3798344.58</v>
      </c>
      <c r="K158" s="9">
        <f>7385014.78+114985.22-J158</f>
        <v>3701655.42</v>
      </c>
      <c r="L158" s="9">
        <f t="shared" si="9"/>
        <v>7500000</v>
      </c>
      <c r="M158" s="9">
        <v>7500000</v>
      </c>
      <c r="N158" s="145"/>
      <c r="O158" s="145"/>
      <c r="P158" s="145"/>
      <c r="Q158" s="145"/>
    </row>
    <row r="159" spans="1:17" s="144" customFormat="1" ht="18" customHeight="1">
      <c r="A159" s="139"/>
      <c r="B159" s="140"/>
      <c r="C159" s="140"/>
      <c r="D159" s="20" t="s">
        <v>282</v>
      </c>
      <c r="E159" s="20"/>
      <c r="F159" s="21"/>
      <c r="G159" s="142"/>
      <c r="H159" s="4">
        <v>8791</v>
      </c>
      <c r="I159" s="22">
        <f>811772.32+4257.83</f>
        <v>816030.14999999991</v>
      </c>
      <c r="J159" s="9">
        <v>313098.42</v>
      </c>
      <c r="K159" s="9">
        <f>800000-J159</f>
        <v>486901.58</v>
      </c>
      <c r="L159" s="9">
        <f t="shared" si="9"/>
        <v>800000</v>
      </c>
      <c r="M159" s="9">
        <v>700000</v>
      </c>
      <c r="N159" s="145"/>
      <c r="O159" s="145"/>
      <c r="P159" s="145"/>
      <c r="Q159" s="145"/>
    </row>
    <row r="160" spans="1:17" s="144" customFormat="1" ht="18" customHeight="1">
      <c r="A160" s="139"/>
      <c r="B160" s="140"/>
      <c r="C160" s="140"/>
      <c r="D160" s="20" t="s">
        <v>264</v>
      </c>
      <c r="E160" s="20"/>
      <c r="F160" s="21"/>
      <c r="G160" s="142"/>
      <c r="H160" s="4" t="s">
        <v>15</v>
      </c>
      <c r="I160" s="22">
        <f>502213.57+18290</f>
        <v>520503.57</v>
      </c>
      <c r="J160" s="9">
        <v>287858.5</v>
      </c>
      <c r="K160" s="9">
        <f>600000-J160</f>
        <v>312141.5</v>
      </c>
      <c r="L160" s="9">
        <f t="shared" si="9"/>
        <v>600000</v>
      </c>
      <c r="M160" s="9">
        <v>380000</v>
      </c>
      <c r="N160" s="145"/>
      <c r="O160" s="145"/>
      <c r="P160" s="145"/>
      <c r="Q160" s="145"/>
    </row>
    <row r="161" spans="1:17" s="144" customFormat="1" ht="18" customHeight="1">
      <c r="A161" s="139"/>
      <c r="B161" s="140"/>
      <c r="C161" s="140"/>
      <c r="D161" s="20" t="s">
        <v>265</v>
      </c>
      <c r="E161" s="20"/>
      <c r="F161" s="21"/>
      <c r="G161" s="142"/>
      <c r="H161" s="4" t="s">
        <v>16</v>
      </c>
      <c r="I161" s="22">
        <f>538580+1440</f>
        <v>540020</v>
      </c>
      <c r="J161" s="9">
        <v>88486.44</v>
      </c>
      <c r="K161" s="9">
        <f>330000-J161</f>
        <v>241513.56</v>
      </c>
      <c r="L161" s="9">
        <f t="shared" si="9"/>
        <v>330000</v>
      </c>
      <c r="M161" s="9">
        <v>500000</v>
      </c>
      <c r="N161" s="145"/>
      <c r="O161" s="145"/>
      <c r="P161" s="145"/>
      <c r="Q161" s="145"/>
    </row>
    <row r="162" spans="1:17" s="144" customFormat="1" ht="18" customHeight="1">
      <c r="A162" s="139"/>
      <c r="B162" s="140"/>
      <c r="C162" s="140"/>
      <c r="D162" s="20" t="s">
        <v>436</v>
      </c>
      <c r="E162" s="20"/>
      <c r="F162" s="21"/>
      <c r="G162" s="142"/>
      <c r="H162" s="4" t="s">
        <v>299</v>
      </c>
      <c r="I162" s="22"/>
      <c r="J162" s="9">
        <v>0</v>
      </c>
      <c r="K162" s="9">
        <f>120000</f>
        <v>120000</v>
      </c>
      <c r="L162" s="9">
        <f t="shared" si="9"/>
        <v>120000</v>
      </c>
      <c r="M162" s="9">
        <v>120000</v>
      </c>
      <c r="N162" s="145"/>
      <c r="O162" s="145"/>
      <c r="P162" s="145"/>
      <c r="Q162" s="145"/>
    </row>
    <row r="163" spans="1:17" s="144" customFormat="1" ht="18" customHeight="1">
      <c r="A163" s="139"/>
      <c r="B163" s="140"/>
      <c r="C163" s="140"/>
      <c r="D163" s="20" t="s">
        <v>270</v>
      </c>
      <c r="E163" s="20"/>
      <c r="F163" s="21"/>
      <c r="G163" s="142"/>
      <c r="H163" s="4" t="s">
        <v>87</v>
      </c>
      <c r="I163" s="22">
        <f>362097+25000</f>
        <v>387097</v>
      </c>
      <c r="J163" s="9">
        <v>169317.53</v>
      </c>
      <c r="K163" s="9">
        <f>1725000-J163</f>
        <v>1555682.47</v>
      </c>
      <c r="L163" s="9">
        <f t="shared" si="9"/>
        <v>1725000</v>
      </c>
      <c r="M163" s="9">
        <v>1000000</v>
      </c>
      <c r="N163" s="145"/>
      <c r="O163" s="145"/>
      <c r="P163" s="145"/>
      <c r="Q163" s="145"/>
    </row>
    <row r="164" spans="1:17" s="144" customFormat="1" ht="18" customHeight="1">
      <c r="A164" s="139"/>
      <c r="B164" s="140"/>
      <c r="C164" s="140"/>
      <c r="D164" s="20" t="s">
        <v>280</v>
      </c>
      <c r="E164" s="20"/>
      <c r="F164" s="21"/>
      <c r="G164" s="142"/>
      <c r="H164" s="4" t="s">
        <v>17</v>
      </c>
      <c r="I164" s="22">
        <v>936856</v>
      </c>
      <c r="J164" s="9">
        <v>97730</v>
      </c>
      <c r="K164" s="9">
        <f>440000-J164</f>
        <v>342270</v>
      </c>
      <c r="L164" s="9">
        <f t="shared" si="9"/>
        <v>440000</v>
      </c>
      <c r="M164" s="9">
        <v>1000000</v>
      </c>
      <c r="N164" s="145"/>
      <c r="O164" s="145"/>
      <c r="P164" s="145"/>
      <c r="Q164" s="145"/>
    </row>
    <row r="165" spans="1:17" s="144" customFormat="1" ht="18" customHeight="1">
      <c r="A165" s="139"/>
      <c r="B165" s="140"/>
      <c r="C165" s="140"/>
      <c r="D165" s="20" t="s">
        <v>271</v>
      </c>
      <c r="E165" s="20"/>
      <c r="F165" s="21"/>
      <c r="G165" s="142"/>
      <c r="H165" s="4" t="s">
        <v>18</v>
      </c>
      <c r="I165" s="22">
        <v>0</v>
      </c>
      <c r="J165" s="9">
        <v>0</v>
      </c>
      <c r="K165" s="9">
        <f>0-J165</f>
        <v>0</v>
      </c>
      <c r="L165" s="9">
        <f t="shared" si="9"/>
        <v>0</v>
      </c>
      <c r="M165" s="9">
        <v>200000</v>
      </c>
      <c r="N165" s="145"/>
      <c r="O165" s="145"/>
      <c r="P165" s="145"/>
      <c r="Q165" s="145"/>
    </row>
    <row r="166" spans="1:17" s="144" customFormat="1" ht="18" customHeight="1">
      <c r="A166" s="139"/>
      <c r="B166" s="140"/>
      <c r="C166" s="140"/>
      <c r="D166" s="20" t="s">
        <v>272</v>
      </c>
      <c r="E166" s="20"/>
      <c r="F166" s="21"/>
      <c r="G166" s="142"/>
      <c r="H166" s="4" t="s">
        <v>19</v>
      </c>
      <c r="I166" s="22">
        <f>126470+19000+149080</f>
        <v>294550</v>
      </c>
      <c r="J166" s="9">
        <v>78400</v>
      </c>
      <c r="K166" s="9">
        <f>300000-J166</f>
        <v>221600</v>
      </c>
      <c r="L166" s="9">
        <f t="shared" si="9"/>
        <v>300000</v>
      </c>
      <c r="M166" s="9">
        <v>300000</v>
      </c>
      <c r="N166" s="145"/>
      <c r="O166" s="145"/>
      <c r="P166" s="145"/>
      <c r="Q166" s="145"/>
    </row>
    <row r="167" spans="1:17" s="144" customFormat="1" ht="18" customHeight="1">
      <c r="A167" s="139"/>
      <c r="B167" s="140"/>
      <c r="C167" s="140"/>
      <c r="D167" s="20" t="s">
        <v>273</v>
      </c>
      <c r="E167" s="20"/>
      <c r="F167" s="21"/>
      <c r="G167" s="142"/>
      <c r="H167" s="4" t="s">
        <v>20</v>
      </c>
      <c r="I167" s="22">
        <v>454800</v>
      </c>
      <c r="J167" s="9">
        <v>175500</v>
      </c>
      <c r="K167" s="9">
        <f>550000-J167</f>
        <v>374500</v>
      </c>
      <c r="L167" s="9">
        <f t="shared" si="9"/>
        <v>550000</v>
      </c>
      <c r="M167" s="9">
        <v>600000</v>
      </c>
      <c r="N167" s="145"/>
      <c r="O167" s="145"/>
      <c r="P167" s="145"/>
      <c r="Q167" s="145"/>
    </row>
    <row r="168" spans="1:17" s="144" customFormat="1" ht="18" customHeight="1">
      <c r="A168" s="139"/>
      <c r="B168" s="140"/>
      <c r="C168" s="140"/>
      <c r="D168" s="20" t="s">
        <v>437</v>
      </c>
      <c r="E168" s="20"/>
      <c r="F168" s="21"/>
      <c r="G168" s="142"/>
      <c r="H168" s="4" t="s">
        <v>21</v>
      </c>
      <c r="I168" s="22">
        <v>6000</v>
      </c>
      <c r="J168" s="9">
        <v>6000</v>
      </c>
      <c r="K168" s="9">
        <f>12000-J168</f>
        <v>6000</v>
      </c>
      <c r="L168" s="9">
        <f t="shared" si="9"/>
        <v>12000</v>
      </c>
      <c r="M168" s="9">
        <v>12000</v>
      </c>
      <c r="N168" s="145"/>
      <c r="O168" s="145"/>
      <c r="P168" s="145"/>
      <c r="Q168" s="145"/>
    </row>
    <row r="169" spans="1:17" s="144" customFormat="1" ht="18" customHeight="1">
      <c r="A169" s="139"/>
      <c r="B169" s="140"/>
      <c r="C169" s="140"/>
      <c r="D169" s="20" t="s">
        <v>267</v>
      </c>
      <c r="E169" s="20"/>
      <c r="F169" s="21"/>
      <c r="G169" s="142"/>
      <c r="H169" s="4" t="s">
        <v>22</v>
      </c>
      <c r="I169" s="22">
        <v>310250</v>
      </c>
      <c r="J169" s="9">
        <v>0</v>
      </c>
      <c r="K169" s="9">
        <f>500000-J169</f>
        <v>500000</v>
      </c>
      <c r="L169" s="9">
        <f t="shared" si="9"/>
        <v>500000</v>
      </c>
      <c r="M169" s="9">
        <v>500000</v>
      </c>
      <c r="N169" s="145"/>
      <c r="O169" s="145"/>
      <c r="P169" s="145"/>
      <c r="Q169" s="145"/>
    </row>
    <row r="170" spans="1:17" s="144" customFormat="1" ht="18" customHeight="1">
      <c r="A170" s="139"/>
      <c r="B170" s="140"/>
      <c r="C170" s="140"/>
      <c r="D170" s="20" t="s">
        <v>268</v>
      </c>
      <c r="E170" s="20"/>
      <c r="F170" s="21"/>
      <c r="G170" s="142"/>
      <c r="H170" s="4" t="s">
        <v>26</v>
      </c>
      <c r="I170" s="22">
        <v>201690</v>
      </c>
      <c r="J170" s="9">
        <v>25662</v>
      </c>
      <c r="K170" s="9">
        <f>250000-J170</f>
        <v>224338</v>
      </c>
      <c r="L170" s="9">
        <f t="shared" si="9"/>
        <v>250000</v>
      </c>
      <c r="M170" s="9">
        <v>250000</v>
      </c>
      <c r="N170" s="145"/>
      <c r="O170" s="145"/>
      <c r="P170" s="145"/>
      <c r="Q170" s="145"/>
    </row>
    <row r="171" spans="1:17" s="144" customFormat="1" ht="18" customHeight="1">
      <c r="A171" s="139"/>
      <c r="B171" s="140"/>
      <c r="C171" s="140"/>
      <c r="D171" s="20" t="s">
        <v>269</v>
      </c>
      <c r="E171" s="20"/>
      <c r="F171" s="21"/>
      <c r="G171" s="142"/>
      <c r="H171" s="4" t="s">
        <v>27</v>
      </c>
      <c r="I171" s="22">
        <v>239870</v>
      </c>
      <c r="J171" s="9">
        <v>51077.440000000002</v>
      </c>
      <c r="K171" s="9">
        <f>250000-J171</f>
        <v>198922.56</v>
      </c>
      <c r="L171" s="9">
        <f t="shared" si="9"/>
        <v>250000</v>
      </c>
      <c r="M171" s="9">
        <v>250000</v>
      </c>
      <c r="N171" s="145"/>
      <c r="O171" s="145"/>
      <c r="P171" s="145"/>
      <c r="Q171" s="145"/>
    </row>
    <row r="172" spans="1:17" s="144" customFormat="1" ht="18" customHeight="1">
      <c r="A172" s="139"/>
      <c r="B172" s="140"/>
      <c r="C172" s="140"/>
      <c r="D172" s="20" t="s">
        <v>296</v>
      </c>
      <c r="E172" s="20"/>
      <c r="F172" s="21"/>
      <c r="G172" s="142"/>
      <c r="H172" s="4" t="s">
        <v>88</v>
      </c>
      <c r="I172" s="22">
        <f>1629206.51+33320</f>
        <v>1662526.51</v>
      </c>
      <c r="J172" s="9">
        <v>1329558.6499999999</v>
      </c>
      <c r="K172" s="9">
        <f>3860000-J172</f>
        <v>2530441.35</v>
      </c>
      <c r="L172" s="9">
        <f t="shared" si="9"/>
        <v>3860000</v>
      </c>
      <c r="M172" s="9">
        <v>3000000</v>
      </c>
      <c r="N172" s="145"/>
      <c r="O172" s="145"/>
      <c r="P172" s="145"/>
      <c r="Q172" s="145"/>
    </row>
    <row r="173" spans="1:17" s="144" customFormat="1" ht="18" customHeight="1">
      <c r="A173" s="139"/>
      <c r="B173" s="140"/>
      <c r="C173" s="140"/>
      <c r="D173" s="20" t="s">
        <v>55</v>
      </c>
      <c r="E173" s="20"/>
      <c r="F173" s="21"/>
      <c r="G173" s="142"/>
      <c r="H173" s="4" t="s">
        <v>89</v>
      </c>
      <c r="I173" s="22">
        <v>200000</v>
      </c>
      <c r="J173" s="9">
        <v>189235.24</v>
      </c>
      <c r="K173" s="9">
        <f>200000-J173</f>
        <v>10764.760000000009</v>
      </c>
      <c r="L173" s="9">
        <f t="shared" si="9"/>
        <v>200000</v>
      </c>
      <c r="M173" s="9">
        <v>200000</v>
      </c>
      <c r="N173" s="145"/>
      <c r="O173" s="145"/>
      <c r="P173" s="145"/>
      <c r="Q173" s="145"/>
    </row>
    <row r="174" spans="1:17" s="164" customFormat="1" ht="16.5">
      <c r="A174" s="160"/>
      <c r="B174" s="161"/>
      <c r="C174" s="161"/>
      <c r="D174" s="384" t="s">
        <v>438</v>
      </c>
      <c r="E174" s="384"/>
      <c r="F174" s="385"/>
      <c r="G174" s="155"/>
      <c r="H174" s="69" t="s">
        <v>28</v>
      </c>
      <c r="I174" s="70">
        <v>99930</v>
      </c>
      <c r="J174" s="71"/>
      <c r="K174" s="71">
        <f>0-J174</f>
        <v>0</v>
      </c>
      <c r="L174" s="71"/>
      <c r="M174" s="71"/>
      <c r="N174" s="163"/>
      <c r="O174" s="163"/>
      <c r="P174" s="163"/>
      <c r="Q174" s="163"/>
    </row>
    <row r="175" spans="1:17" s="164" customFormat="1" ht="28.5" customHeight="1">
      <c r="A175" s="160"/>
      <c r="B175" s="161"/>
      <c r="C175" s="161"/>
      <c r="D175" s="384" t="s">
        <v>439</v>
      </c>
      <c r="E175" s="384"/>
      <c r="F175" s="385"/>
      <c r="G175" s="155"/>
      <c r="H175" s="4" t="s">
        <v>30</v>
      </c>
      <c r="I175" s="70">
        <v>99920</v>
      </c>
      <c r="J175" s="71"/>
      <c r="K175" s="71">
        <f>0-J175</f>
        <v>0</v>
      </c>
      <c r="L175" s="71"/>
      <c r="M175" s="71"/>
      <c r="N175" s="163"/>
      <c r="O175" s="163"/>
      <c r="P175" s="163"/>
      <c r="Q175" s="163"/>
    </row>
    <row r="176" spans="1:17" s="164" customFormat="1" ht="16.5">
      <c r="A176" s="160"/>
      <c r="B176" s="161"/>
      <c r="C176" s="161"/>
      <c r="D176" s="384" t="s">
        <v>440</v>
      </c>
      <c r="E176" s="384"/>
      <c r="F176" s="385"/>
      <c r="G176" s="155"/>
      <c r="H176" s="4" t="s">
        <v>31</v>
      </c>
      <c r="I176" s="70">
        <v>99920</v>
      </c>
      <c r="J176" s="71"/>
      <c r="K176" s="71">
        <f>0-J176</f>
        <v>0</v>
      </c>
      <c r="L176" s="71"/>
      <c r="M176" s="71"/>
      <c r="N176" s="163"/>
      <c r="O176" s="163"/>
      <c r="P176" s="163"/>
      <c r="Q176" s="163"/>
    </row>
    <row r="177" spans="1:17" s="164" customFormat="1" ht="16.5">
      <c r="A177" s="160"/>
      <c r="B177" s="161"/>
      <c r="C177" s="161"/>
      <c r="D177" s="384" t="s">
        <v>441</v>
      </c>
      <c r="E177" s="384"/>
      <c r="F177" s="385"/>
      <c r="G177" s="162"/>
      <c r="H177" s="69" t="s">
        <v>32</v>
      </c>
      <c r="I177" s="70"/>
      <c r="J177" s="71">
        <v>18000</v>
      </c>
      <c r="K177" s="71">
        <f>100000-J177</f>
        <v>82000</v>
      </c>
      <c r="L177" s="71">
        <f t="shared" si="9"/>
        <v>100000</v>
      </c>
      <c r="M177" s="71">
        <v>100000</v>
      </c>
      <c r="N177" s="163"/>
      <c r="O177" s="163"/>
      <c r="P177" s="163"/>
      <c r="Q177" s="163"/>
    </row>
    <row r="178" spans="1:17" s="164" customFormat="1" ht="16.5">
      <c r="A178" s="160"/>
      <c r="B178" s="161"/>
      <c r="C178" s="161"/>
      <c r="D178" s="384" t="s">
        <v>442</v>
      </c>
      <c r="E178" s="384"/>
      <c r="F178" s="385"/>
      <c r="G178" s="162"/>
      <c r="H178" s="4" t="s">
        <v>326</v>
      </c>
      <c r="I178" s="70"/>
      <c r="J178" s="71">
        <v>5500</v>
      </c>
      <c r="K178" s="71">
        <f>100000-J178</f>
        <v>94500</v>
      </c>
      <c r="L178" s="71">
        <f t="shared" si="9"/>
        <v>100000</v>
      </c>
      <c r="M178" s="71">
        <v>150000</v>
      </c>
      <c r="N178" s="163"/>
      <c r="O178" s="163"/>
      <c r="P178" s="163"/>
      <c r="Q178" s="163"/>
    </row>
    <row r="179" spans="1:17" s="164" customFormat="1" ht="16.5">
      <c r="A179" s="160"/>
      <c r="B179" s="161"/>
      <c r="C179" s="161"/>
      <c r="D179" s="384" t="s">
        <v>443</v>
      </c>
      <c r="E179" s="384"/>
      <c r="F179" s="385"/>
      <c r="G179" s="162"/>
      <c r="H179" s="4" t="s">
        <v>191</v>
      </c>
      <c r="I179" s="70"/>
      <c r="J179" s="71">
        <v>0</v>
      </c>
      <c r="K179" s="71">
        <f>0-J179</f>
        <v>0</v>
      </c>
      <c r="L179" s="71">
        <f t="shared" si="9"/>
        <v>0</v>
      </c>
      <c r="M179" s="71">
        <v>302000</v>
      </c>
      <c r="N179" s="163"/>
      <c r="O179" s="163"/>
      <c r="P179" s="163"/>
      <c r="Q179" s="163"/>
    </row>
    <row r="180" spans="1:17" s="164" customFormat="1" ht="16.5">
      <c r="A180" s="160"/>
      <c r="B180" s="161"/>
      <c r="C180" s="161"/>
      <c r="D180" s="384" t="s">
        <v>444</v>
      </c>
      <c r="E180" s="384"/>
      <c r="F180" s="385"/>
      <c r="G180" s="162"/>
      <c r="H180" s="69" t="s">
        <v>192</v>
      </c>
      <c r="I180" s="70"/>
      <c r="J180" s="71">
        <v>0</v>
      </c>
      <c r="K180" s="71">
        <f>2100000-J180</f>
        <v>2100000</v>
      </c>
      <c r="L180" s="71">
        <f t="shared" si="9"/>
        <v>2100000</v>
      </c>
      <c r="M180" s="71">
        <v>0</v>
      </c>
      <c r="N180" s="163"/>
      <c r="O180" s="163"/>
      <c r="P180" s="163"/>
      <c r="Q180" s="163"/>
    </row>
    <row r="181" spans="1:17" s="164" customFormat="1" ht="29.25" customHeight="1">
      <c r="A181" s="160"/>
      <c r="B181" s="161"/>
      <c r="C181" s="161"/>
      <c r="D181" s="384" t="s">
        <v>445</v>
      </c>
      <c r="E181" s="384"/>
      <c r="F181" s="385"/>
      <c r="G181" s="162"/>
      <c r="H181" s="4" t="s">
        <v>193</v>
      </c>
      <c r="I181" s="70"/>
      <c r="J181" s="71">
        <v>199268.16</v>
      </c>
      <c r="K181" s="71">
        <f>200000-J181</f>
        <v>731.83999999999651</v>
      </c>
      <c r="L181" s="71">
        <f t="shared" si="9"/>
        <v>200000</v>
      </c>
      <c r="M181" s="71">
        <v>0</v>
      </c>
      <c r="N181" s="163"/>
      <c r="O181" s="163"/>
      <c r="P181" s="163"/>
      <c r="Q181" s="163"/>
    </row>
    <row r="182" spans="1:17" s="164" customFormat="1" ht="28.5" customHeight="1">
      <c r="A182" s="160"/>
      <c r="B182" s="161"/>
      <c r="C182" s="161"/>
      <c r="D182" s="384" t="s">
        <v>446</v>
      </c>
      <c r="E182" s="384"/>
      <c r="F182" s="385"/>
      <c r="G182" s="162"/>
      <c r="H182" s="4" t="s">
        <v>327</v>
      </c>
      <c r="I182" s="70"/>
      <c r="J182" s="71">
        <v>299778.43</v>
      </c>
      <c r="K182" s="71">
        <f>300000-J182</f>
        <v>221.57000000000698</v>
      </c>
      <c r="L182" s="71">
        <f t="shared" si="9"/>
        <v>300000</v>
      </c>
      <c r="M182" s="71">
        <v>0</v>
      </c>
      <c r="N182" s="163"/>
      <c r="O182" s="163"/>
      <c r="P182" s="163"/>
      <c r="Q182" s="163"/>
    </row>
    <row r="183" spans="1:17" s="164" customFormat="1" ht="35.25" customHeight="1">
      <c r="A183" s="160"/>
      <c r="B183" s="161"/>
      <c r="C183" s="161"/>
      <c r="D183" s="384" t="s">
        <v>447</v>
      </c>
      <c r="E183" s="384"/>
      <c r="F183" s="385"/>
      <c r="G183" s="162"/>
      <c r="H183" s="69" t="s">
        <v>338</v>
      </c>
      <c r="I183" s="70"/>
      <c r="J183" s="71">
        <v>299778.43</v>
      </c>
      <c r="K183" s="71">
        <f>300000-J183</f>
        <v>221.57000000000698</v>
      </c>
      <c r="L183" s="71">
        <f t="shared" si="9"/>
        <v>300000</v>
      </c>
      <c r="M183" s="71">
        <v>0</v>
      </c>
      <c r="N183" s="163"/>
      <c r="O183" s="163"/>
      <c r="P183" s="163"/>
      <c r="Q183" s="163"/>
    </row>
    <row r="184" spans="1:17" s="164" customFormat="1" ht="35.25" customHeight="1">
      <c r="A184" s="160"/>
      <c r="B184" s="161"/>
      <c r="C184" s="161"/>
      <c r="D184" s="384" t="s">
        <v>448</v>
      </c>
      <c r="E184" s="384"/>
      <c r="F184" s="385"/>
      <c r="G184" s="162"/>
      <c r="H184" s="4" t="s">
        <v>339</v>
      </c>
      <c r="I184" s="70"/>
      <c r="J184" s="71">
        <v>199984.68</v>
      </c>
      <c r="K184" s="71">
        <f>200000-J184</f>
        <v>15.320000000006985</v>
      </c>
      <c r="L184" s="71">
        <f t="shared" si="9"/>
        <v>200000</v>
      </c>
      <c r="M184" s="71">
        <v>0</v>
      </c>
      <c r="N184" s="163"/>
      <c r="O184" s="163"/>
      <c r="P184" s="163"/>
      <c r="Q184" s="163"/>
    </row>
    <row r="185" spans="1:17" s="164" customFormat="1" ht="16.5">
      <c r="A185" s="160"/>
      <c r="B185" s="161"/>
      <c r="C185" s="161"/>
      <c r="D185" s="384" t="s">
        <v>449</v>
      </c>
      <c r="E185" s="384"/>
      <c r="F185" s="385"/>
      <c r="G185" s="162"/>
      <c r="H185" s="4" t="s">
        <v>340</v>
      </c>
      <c r="I185" s="70"/>
      <c r="J185" s="71">
        <v>0</v>
      </c>
      <c r="K185" s="71">
        <f>500000-J185</f>
        <v>500000</v>
      </c>
      <c r="L185" s="71">
        <f t="shared" si="9"/>
        <v>500000</v>
      </c>
      <c r="M185" s="71">
        <v>0</v>
      </c>
      <c r="N185" s="163"/>
      <c r="O185" s="163"/>
      <c r="P185" s="163"/>
      <c r="Q185" s="163"/>
    </row>
    <row r="186" spans="1:17" s="164" customFormat="1" ht="16.5">
      <c r="A186" s="160"/>
      <c r="B186" s="161"/>
      <c r="C186" s="161"/>
      <c r="D186" s="384" t="s">
        <v>450</v>
      </c>
      <c r="E186" s="384"/>
      <c r="F186" s="385"/>
      <c r="G186" s="162"/>
      <c r="H186" s="69" t="s">
        <v>341</v>
      </c>
      <c r="I186" s="70"/>
      <c r="J186" s="71">
        <v>280000</v>
      </c>
      <c r="K186" s="71">
        <f>300000-J186</f>
        <v>20000</v>
      </c>
      <c r="L186" s="71">
        <f t="shared" si="9"/>
        <v>300000</v>
      </c>
      <c r="M186" s="71">
        <v>0</v>
      </c>
      <c r="N186" s="163"/>
      <c r="O186" s="163"/>
      <c r="P186" s="163"/>
      <c r="Q186" s="163"/>
    </row>
    <row r="187" spans="1:17" s="164" customFormat="1" ht="16.5">
      <c r="A187" s="160"/>
      <c r="B187" s="161"/>
      <c r="C187" s="161"/>
      <c r="D187" s="384" t="s">
        <v>451</v>
      </c>
      <c r="E187" s="384"/>
      <c r="F187" s="385"/>
      <c r="G187" s="162"/>
      <c r="H187" s="4" t="s">
        <v>342</v>
      </c>
      <c r="I187" s="70"/>
      <c r="J187" s="71">
        <v>200000</v>
      </c>
      <c r="K187" s="71">
        <f>200000-J187</f>
        <v>0</v>
      </c>
      <c r="L187" s="71">
        <f t="shared" si="9"/>
        <v>200000</v>
      </c>
      <c r="M187" s="71">
        <v>0</v>
      </c>
      <c r="N187" s="163"/>
      <c r="O187" s="163"/>
      <c r="P187" s="163"/>
      <c r="Q187" s="163"/>
    </row>
    <row r="188" spans="1:17" s="164" customFormat="1" ht="16.5">
      <c r="A188" s="160"/>
      <c r="B188" s="161"/>
      <c r="C188" s="161"/>
      <c r="D188" s="384" t="s">
        <v>452</v>
      </c>
      <c r="E188" s="384"/>
      <c r="F188" s="385"/>
      <c r="G188" s="162"/>
      <c r="H188" s="4" t="s">
        <v>345</v>
      </c>
      <c r="I188" s="70"/>
      <c r="J188" s="71"/>
      <c r="K188" s="71">
        <f>300000-J188</f>
        <v>300000</v>
      </c>
      <c r="L188" s="71">
        <f t="shared" si="9"/>
        <v>300000</v>
      </c>
      <c r="M188" s="71">
        <v>0</v>
      </c>
      <c r="N188" s="163"/>
      <c r="O188" s="163"/>
      <c r="P188" s="163"/>
      <c r="Q188" s="163"/>
    </row>
    <row r="189" spans="1:17" s="164" customFormat="1" ht="16.5">
      <c r="A189" s="160"/>
      <c r="B189" s="161"/>
      <c r="C189" s="161"/>
      <c r="D189" s="384" t="s">
        <v>453</v>
      </c>
      <c r="E189" s="384"/>
      <c r="F189" s="385"/>
      <c r="G189" s="162"/>
      <c r="H189" s="69" t="s">
        <v>454</v>
      </c>
      <c r="I189" s="70"/>
      <c r="J189" s="71">
        <v>299853.51</v>
      </c>
      <c r="K189" s="71">
        <f>300000-J189</f>
        <v>146.48999999999069</v>
      </c>
      <c r="L189" s="71">
        <f t="shared" si="9"/>
        <v>300000</v>
      </c>
      <c r="M189" s="71">
        <v>0</v>
      </c>
      <c r="N189" s="163"/>
      <c r="O189" s="163"/>
      <c r="P189" s="163"/>
      <c r="Q189" s="163"/>
    </row>
    <row r="190" spans="1:17" s="164" customFormat="1" ht="16.5">
      <c r="A190" s="160"/>
      <c r="B190" s="161"/>
      <c r="C190" s="161"/>
      <c r="D190" s="384" t="s">
        <v>455</v>
      </c>
      <c r="E190" s="384"/>
      <c r="F190" s="385"/>
      <c r="G190" s="162"/>
      <c r="H190" s="4" t="s">
        <v>456</v>
      </c>
      <c r="I190" s="70"/>
      <c r="J190" s="71">
        <v>0</v>
      </c>
      <c r="K190" s="71">
        <f>50000-J190</f>
        <v>50000</v>
      </c>
      <c r="L190" s="71">
        <f t="shared" si="9"/>
        <v>50000</v>
      </c>
      <c r="M190" s="71">
        <v>50000</v>
      </c>
      <c r="N190" s="163"/>
      <c r="O190" s="163"/>
      <c r="P190" s="163"/>
      <c r="Q190" s="163"/>
    </row>
    <row r="191" spans="1:17" s="164" customFormat="1" ht="30.75" customHeight="1">
      <c r="A191" s="160"/>
      <c r="B191" s="161"/>
      <c r="C191" s="161"/>
      <c r="D191" s="384" t="s">
        <v>457</v>
      </c>
      <c r="E191" s="384"/>
      <c r="F191" s="385"/>
      <c r="G191" s="162"/>
      <c r="H191" s="4" t="s">
        <v>458</v>
      </c>
      <c r="I191" s="70"/>
      <c r="J191" s="71">
        <v>0</v>
      </c>
      <c r="K191" s="71">
        <f>300000-J191</f>
        <v>300000</v>
      </c>
      <c r="L191" s="71">
        <f t="shared" si="9"/>
        <v>300000</v>
      </c>
      <c r="M191" s="71">
        <v>0</v>
      </c>
      <c r="N191" s="163"/>
      <c r="O191" s="163"/>
      <c r="P191" s="163"/>
      <c r="Q191" s="163"/>
    </row>
    <row r="192" spans="1:17" s="164" customFormat="1" ht="35.25" customHeight="1">
      <c r="A192" s="160"/>
      <c r="B192" s="161"/>
      <c r="C192" s="161"/>
      <c r="D192" s="384" t="s">
        <v>459</v>
      </c>
      <c r="E192" s="384"/>
      <c r="F192" s="385"/>
      <c r="G192" s="155"/>
      <c r="H192" s="69" t="s">
        <v>460</v>
      </c>
      <c r="I192" s="70"/>
      <c r="J192" s="71">
        <v>0</v>
      </c>
      <c r="K192" s="71">
        <f>500000-J192</f>
        <v>500000</v>
      </c>
      <c r="L192" s="71">
        <f t="shared" si="9"/>
        <v>500000</v>
      </c>
      <c r="M192" s="71">
        <v>0</v>
      </c>
      <c r="N192" s="163"/>
      <c r="O192" s="163"/>
      <c r="P192" s="163"/>
      <c r="Q192" s="163"/>
    </row>
    <row r="193" spans="1:17" s="164" customFormat="1" ht="16.5">
      <c r="A193" s="160"/>
      <c r="B193" s="161"/>
      <c r="C193" s="161"/>
      <c r="D193" s="384" t="s">
        <v>461</v>
      </c>
      <c r="E193" s="384"/>
      <c r="F193" s="385"/>
      <c r="G193" s="155"/>
      <c r="H193" s="69" t="s">
        <v>462</v>
      </c>
      <c r="I193" s="70"/>
      <c r="J193" s="71"/>
      <c r="K193" s="71">
        <f>0-J193</f>
        <v>0</v>
      </c>
      <c r="L193" s="71">
        <f t="shared" si="9"/>
        <v>0</v>
      </c>
      <c r="M193" s="71">
        <v>800000</v>
      </c>
      <c r="N193" s="163"/>
      <c r="O193" s="163"/>
      <c r="P193" s="163"/>
      <c r="Q193" s="163"/>
    </row>
    <row r="194" spans="1:17" s="164" customFormat="1" ht="16.5">
      <c r="A194" s="160"/>
      <c r="B194" s="161"/>
      <c r="C194" s="161"/>
      <c r="D194" s="384" t="s">
        <v>552</v>
      </c>
      <c r="E194" s="384"/>
      <c r="F194" s="385"/>
      <c r="G194" s="155"/>
      <c r="H194" s="69" t="s">
        <v>556</v>
      </c>
      <c r="I194" s="70"/>
      <c r="J194" s="71"/>
      <c r="K194" s="71">
        <f>800000-J194</f>
        <v>800000</v>
      </c>
      <c r="L194" s="71">
        <f t="shared" si="9"/>
        <v>800000</v>
      </c>
      <c r="M194" s="71"/>
      <c r="N194" s="163"/>
      <c r="O194" s="163"/>
      <c r="P194" s="163"/>
      <c r="Q194" s="163"/>
    </row>
    <row r="195" spans="1:17" s="164" customFormat="1" ht="16.5">
      <c r="A195" s="160"/>
      <c r="B195" s="161"/>
      <c r="C195" s="161"/>
      <c r="D195" s="384" t="s">
        <v>553</v>
      </c>
      <c r="E195" s="384"/>
      <c r="F195" s="385"/>
      <c r="G195" s="155"/>
      <c r="H195" s="69" t="s">
        <v>557</v>
      </c>
      <c r="I195" s="70"/>
      <c r="J195" s="71"/>
      <c r="K195" s="71">
        <f>250000-J195</f>
        <v>250000</v>
      </c>
      <c r="L195" s="71">
        <f t="shared" si="9"/>
        <v>250000</v>
      </c>
      <c r="M195" s="71"/>
      <c r="N195" s="163"/>
      <c r="O195" s="163"/>
      <c r="P195" s="163"/>
      <c r="Q195" s="163"/>
    </row>
    <row r="196" spans="1:17" s="164" customFormat="1" ht="16.5">
      <c r="A196" s="160"/>
      <c r="B196" s="161"/>
      <c r="C196" s="161"/>
      <c r="D196" s="384" t="s">
        <v>554</v>
      </c>
      <c r="E196" s="384"/>
      <c r="F196" s="385"/>
      <c r="G196" s="155"/>
      <c r="H196" s="69" t="s">
        <v>558</v>
      </c>
      <c r="I196" s="70"/>
      <c r="J196" s="71"/>
      <c r="K196" s="71">
        <f>70126-J196</f>
        <v>70126</v>
      </c>
      <c r="L196" s="71">
        <f t="shared" si="9"/>
        <v>70126</v>
      </c>
      <c r="M196" s="71"/>
      <c r="N196" s="163"/>
      <c r="O196" s="163"/>
      <c r="P196" s="163"/>
      <c r="Q196" s="163"/>
    </row>
    <row r="197" spans="1:17" s="164" customFormat="1" ht="16.5">
      <c r="A197" s="160"/>
      <c r="B197" s="161"/>
      <c r="C197" s="161"/>
      <c r="D197" s="384" t="s">
        <v>555</v>
      </c>
      <c r="E197" s="384"/>
      <c r="F197" s="385"/>
      <c r="G197" s="155"/>
      <c r="H197" s="69" t="s">
        <v>559</v>
      </c>
      <c r="I197" s="70"/>
      <c r="J197" s="71"/>
      <c r="K197" s="71">
        <f>450000-J197</f>
        <v>450000</v>
      </c>
      <c r="L197" s="71">
        <f t="shared" si="9"/>
        <v>450000</v>
      </c>
      <c r="M197" s="71"/>
      <c r="N197" s="163"/>
      <c r="O197" s="163"/>
      <c r="P197" s="163"/>
      <c r="Q197" s="163"/>
    </row>
    <row r="198" spans="1:17" s="164" customFormat="1" ht="16.5">
      <c r="A198" s="160"/>
      <c r="B198" s="161"/>
      <c r="C198" s="161"/>
      <c r="D198" s="131"/>
      <c r="E198" s="131"/>
      <c r="F198" s="132"/>
      <c r="G198" s="155"/>
      <c r="H198" s="69"/>
      <c r="I198" s="70"/>
      <c r="J198" s="71"/>
      <c r="K198" s="224"/>
      <c r="L198" s="71"/>
      <c r="M198" s="71"/>
      <c r="N198" s="163"/>
      <c r="O198" s="163"/>
      <c r="P198" s="163"/>
      <c r="Q198" s="163"/>
    </row>
    <row r="199" spans="1:17" s="164" customFormat="1" ht="18.75" customHeight="1">
      <c r="A199" s="160"/>
      <c r="B199" s="161"/>
      <c r="C199" s="161"/>
      <c r="D199" s="140" t="s">
        <v>368</v>
      </c>
      <c r="E199" s="131"/>
      <c r="F199" s="132"/>
      <c r="G199" s="162"/>
      <c r="H199" s="69"/>
      <c r="I199" s="165">
        <f>SUM(I152:I197)+I131</f>
        <v>86745734.75</v>
      </c>
      <c r="J199" s="165">
        <f t="shared" ref="J199:M199" si="10">SUM(J152:J197)+J131</f>
        <v>47189757.789999992</v>
      </c>
      <c r="K199" s="165">
        <f t="shared" si="10"/>
        <v>68581647.215000004</v>
      </c>
      <c r="L199" s="165">
        <f>SUM(L152:L197)+L131</f>
        <v>115771405.00500001</v>
      </c>
      <c r="M199" s="165">
        <f t="shared" si="10"/>
        <v>123540980.62</v>
      </c>
      <c r="N199" s="163"/>
      <c r="O199" s="163"/>
      <c r="P199" s="163"/>
      <c r="Q199" s="163"/>
    </row>
    <row r="200" spans="1:17" s="144" customFormat="1" ht="18" customHeight="1">
      <c r="A200" s="146" t="s">
        <v>187</v>
      </c>
      <c r="B200" s="148"/>
      <c r="C200" s="148"/>
      <c r="D200" s="148"/>
      <c r="E200" s="148"/>
      <c r="F200" s="149"/>
      <c r="G200" s="166"/>
      <c r="H200" s="151"/>
      <c r="I200" s="152">
        <f>I68+I199</f>
        <v>105124545.12</v>
      </c>
      <c r="J200" s="152">
        <f>J68+J199</f>
        <v>55198874.559999987</v>
      </c>
      <c r="K200" s="178">
        <f>K68+K199</f>
        <v>85311910.954999998</v>
      </c>
      <c r="L200" s="152">
        <f>L68+L199</f>
        <v>140510785.51500002</v>
      </c>
      <c r="M200" s="152">
        <f>M68+M199</f>
        <v>144675677.62</v>
      </c>
    </row>
    <row r="201" spans="1:17" s="45" customFormat="1" ht="18" customHeight="1">
      <c r="A201" s="53"/>
      <c r="B201" s="53"/>
      <c r="C201" s="53"/>
      <c r="D201" s="53"/>
      <c r="E201" s="53"/>
      <c r="F201" s="53"/>
      <c r="G201" s="73"/>
      <c r="H201" s="173"/>
      <c r="I201" s="174"/>
      <c r="J201" s="174"/>
      <c r="K201" s="174"/>
      <c r="L201" s="174"/>
      <c r="M201" s="174"/>
    </row>
    <row r="202" spans="1:17" s="45" customFormat="1" ht="18" customHeight="1">
      <c r="A202" s="241" t="s">
        <v>490</v>
      </c>
      <c r="B202" s="241"/>
      <c r="C202" s="241"/>
      <c r="D202" s="241"/>
      <c r="E202" s="241"/>
      <c r="F202" s="241"/>
      <c r="G202" s="241"/>
      <c r="H202" s="241"/>
      <c r="I202" s="241"/>
      <c r="J202" s="241"/>
      <c r="K202" s="241"/>
      <c r="L202" s="241"/>
      <c r="M202" s="241"/>
    </row>
    <row r="203" spans="1:17" s="45" customFormat="1" ht="18" customHeight="1">
      <c r="A203" s="93"/>
      <c r="B203" s="94"/>
      <c r="C203" s="93"/>
      <c r="D203" s="93"/>
      <c r="E203" s="93"/>
      <c r="F203" s="95"/>
      <c r="G203" s="93"/>
      <c r="H203" s="96"/>
      <c r="I203" s="96"/>
      <c r="J203" s="92"/>
      <c r="K203" s="61"/>
      <c r="L203" s="61"/>
      <c r="M203" s="55"/>
    </row>
    <row r="204" spans="1:17" s="45" customFormat="1" ht="18" customHeight="1">
      <c r="A204" s="242" t="s">
        <v>491</v>
      </c>
      <c r="B204" s="242"/>
      <c r="C204" s="92"/>
      <c r="D204" s="242"/>
      <c r="E204" s="242"/>
      <c r="F204" s="92"/>
      <c r="G204" s="242"/>
      <c r="H204" s="242"/>
      <c r="I204" s="242" t="s">
        <v>492</v>
      </c>
      <c r="J204" s="242"/>
      <c r="K204" s="242"/>
      <c r="L204" s="242" t="s">
        <v>493</v>
      </c>
      <c r="M204" s="242"/>
    </row>
    <row r="205" spans="1:17" s="45" customFormat="1" ht="18" customHeight="1">
      <c r="A205" s="93"/>
      <c r="B205" s="94"/>
      <c r="C205" s="92"/>
      <c r="D205" s="93"/>
      <c r="E205" s="93"/>
      <c r="F205" s="92"/>
      <c r="G205" s="93"/>
      <c r="H205" s="92"/>
      <c r="I205" s="93"/>
      <c r="J205" s="96"/>
      <c r="K205" s="60"/>
      <c r="L205" s="95"/>
      <c r="M205" s="61"/>
    </row>
    <row r="206" spans="1:17" s="45" customFormat="1" ht="18" customHeight="1">
      <c r="A206" s="404" t="s">
        <v>328</v>
      </c>
      <c r="B206" s="404"/>
      <c r="C206" s="404"/>
      <c r="D206" s="404"/>
      <c r="E206" s="404"/>
      <c r="F206" s="404"/>
      <c r="G206" s="94"/>
      <c r="H206" s="243"/>
      <c r="I206" s="404" t="s">
        <v>494</v>
      </c>
      <c r="J206" s="404"/>
      <c r="K206" s="58"/>
      <c r="L206" s="404" t="s">
        <v>328</v>
      </c>
      <c r="M206" s="404"/>
    </row>
    <row r="207" spans="1:17" s="45" customFormat="1" ht="18" customHeight="1">
      <c r="A207" s="405" t="s">
        <v>495</v>
      </c>
      <c r="B207" s="405"/>
      <c r="C207" s="405"/>
      <c r="D207" s="405"/>
      <c r="E207" s="405"/>
      <c r="F207" s="405"/>
      <c r="G207" s="15"/>
      <c r="H207" s="15"/>
      <c r="I207" s="406" t="s">
        <v>496</v>
      </c>
      <c r="J207" s="406"/>
      <c r="K207" s="15"/>
      <c r="L207" s="405" t="s">
        <v>497</v>
      </c>
      <c r="M207" s="405"/>
    </row>
    <row r="208" spans="1:17" s="45" customFormat="1" ht="18" customHeight="1">
      <c r="A208" s="126"/>
      <c r="B208" s="126"/>
      <c r="C208" s="126"/>
      <c r="D208" s="126"/>
      <c r="E208" s="126"/>
      <c r="F208" s="126"/>
      <c r="G208" s="15"/>
      <c r="H208" s="15"/>
      <c r="I208" s="126"/>
      <c r="J208" s="126"/>
      <c r="K208" s="15"/>
      <c r="L208" s="126"/>
      <c r="M208" s="126"/>
    </row>
    <row r="209" spans="1:13" s="81" customFormat="1" ht="15" customHeight="1">
      <c r="A209" s="399" t="s">
        <v>481</v>
      </c>
      <c r="B209" s="399"/>
      <c r="C209" s="399"/>
      <c r="D209" s="399"/>
      <c r="E209" s="399"/>
      <c r="F209" s="399"/>
      <c r="G209" s="399"/>
      <c r="H209" s="399"/>
      <c r="I209" s="399"/>
      <c r="J209" s="399"/>
      <c r="K209" s="399"/>
      <c r="L209" s="399"/>
      <c r="M209" s="399"/>
    </row>
    <row r="210" spans="1:13" s="81" customFormat="1" ht="15" customHeight="1">
      <c r="A210" s="126"/>
      <c r="B210" s="126"/>
      <c r="C210" s="126"/>
      <c r="D210" s="126"/>
      <c r="E210" s="126"/>
      <c r="F210" s="126"/>
      <c r="G210" s="126"/>
      <c r="H210" s="126"/>
      <c r="I210" s="126"/>
      <c r="J210" s="126"/>
      <c r="K210" s="126"/>
      <c r="L210" s="126"/>
      <c r="M210" s="126"/>
    </row>
    <row r="211" spans="1:13" s="81" customFormat="1" ht="15" customHeight="1">
      <c r="A211" s="238" t="s">
        <v>482</v>
      </c>
      <c r="B211" s="238"/>
      <c r="C211" s="238"/>
      <c r="D211" s="239"/>
      <c r="E211" s="239"/>
      <c r="F211" s="238" t="s">
        <v>483</v>
      </c>
      <c r="G211" s="238"/>
      <c r="H211" s="238"/>
      <c r="I211" s="238"/>
      <c r="J211" s="238" t="s">
        <v>484</v>
      </c>
      <c r="K211" s="238" t="str">
        <f>$K$9</f>
        <v>2025</v>
      </c>
      <c r="L211" s="238"/>
      <c r="M211" s="238"/>
    </row>
    <row r="212" spans="1:13" s="81" customFormat="1" ht="15" customHeight="1">
      <c r="A212" s="238" t="s">
        <v>485</v>
      </c>
      <c r="B212" s="238"/>
      <c r="C212" s="238"/>
      <c r="D212" s="239"/>
      <c r="E212" s="238"/>
      <c r="F212" s="238" t="s">
        <v>486</v>
      </c>
      <c r="G212" s="238"/>
      <c r="H212" s="238"/>
      <c r="I212" s="238"/>
      <c r="J212" s="238" t="s">
        <v>487</v>
      </c>
      <c r="K212" s="94" t="s">
        <v>499</v>
      </c>
      <c r="L212" s="238"/>
      <c r="M212" s="238"/>
    </row>
    <row r="213" spans="1:13" s="81" customFormat="1" ht="15" customHeight="1">
      <c r="A213" s="238" t="s">
        <v>489</v>
      </c>
      <c r="B213" s="238"/>
      <c r="C213" s="238"/>
      <c r="D213" s="238"/>
      <c r="E213" s="238"/>
      <c r="F213" s="238"/>
      <c r="G213" s="238"/>
      <c r="H213" s="238"/>
      <c r="I213" s="238"/>
      <c r="J213" s="238"/>
      <c r="K213" s="238"/>
      <c r="L213" s="238"/>
      <c r="M213" s="238"/>
    </row>
    <row r="214" spans="1:13" s="81" customFormat="1" ht="15" customHeight="1" thickBot="1">
      <c r="A214" s="82"/>
      <c r="B214" s="82"/>
      <c r="C214" s="82"/>
      <c r="D214" s="82"/>
      <c r="E214" s="82"/>
      <c r="F214" s="82"/>
      <c r="G214" s="82"/>
      <c r="H214" s="82"/>
      <c r="I214" s="82"/>
      <c r="J214" s="82"/>
      <c r="K214" s="82"/>
      <c r="L214" s="82"/>
      <c r="M214" s="82"/>
    </row>
    <row r="215" spans="1:13" s="97" customFormat="1" ht="18" customHeight="1">
      <c r="A215" s="192"/>
      <c r="B215" s="193"/>
      <c r="C215" s="193"/>
      <c r="D215" s="193"/>
      <c r="E215" s="193"/>
      <c r="F215" s="194"/>
      <c r="G215" s="195"/>
      <c r="H215" s="196"/>
      <c r="I215" s="196" t="s">
        <v>3</v>
      </c>
      <c r="J215" s="394" t="s">
        <v>188</v>
      </c>
      <c r="K215" s="395"/>
      <c r="L215" s="396"/>
      <c r="M215" s="197" t="s">
        <v>4</v>
      </c>
    </row>
    <row r="216" spans="1:13" s="97" customFormat="1" ht="18" customHeight="1">
      <c r="A216" s="388"/>
      <c r="B216" s="389"/>
      <c r="C216" s="389"/>
      <c r="D216" s="389"/>
      <c r="E216" s="389"/>
      <c r="F216" s="390"/>
      <c r="G216" s="199"/>
      <c r="H216" s="200"/>
      <c r="I216" s="200">
        <v>2023</v>
      </c>
      <c r="J216" s="200" t="s">
        <v>137</v>
      </c>
      <c r="K216" s="200" t="s">
        <v>138</v>
      </c>
      <c r="L216" s="200">
        <v>2024</v>
      </c>
      <c r="M216" s="201">
        <v>2025</v>
      </c>
    </row>
    <row r="217" spans="1:13" s="97" customFormat="1" ht="18" customHeight="1">
      <c r="A217" s="388" t="s">
        <v>8</v>
      </c>
      <c r="B217" s="389"/>
      <c r="C217" s="389"/>
      <c r="D217" s="389"/>
      <c r="E217" s="389"/>
      <c r="F217" s="390"/>
      <c r="G217" s="202"/>
      <c r="H217" s="203" t="s">
        <v>186</v>
      </c>
      <c r="I217" s="200" t="s">
        <v>311</v>
      </c>
      <c r="J217" s="200" t="s">
        <v>136</v>
      </c>
      <c r="K217" s="200" t="s">
        <v>139</v>
      </c>
      <c r="L217" s="200" t="s">
        <v>311</v>
      </c>
      <c r="M217" s="201" t="s">
        <v>311</v>
      </c>
    </row>
    <row r="218" spans="1:13" s="97" customFormat="1" ht="18" customHeight="1">
      <c r="A218" s="204"/>
      <c r="B218" s="99"/>
      <c r="C218" s="99"/>
      <c r="D218" s="99"/>
      <c r="E218" s="99"/>
      <c r="F218" s="205"/>
      <c r="G218" s="202"/>
      <c r="H218" s="200"/>
      <c r="I218" s="200" t="s">
        <v>136</v>
      </c>
      <c r="J218" s="200">
        <v>2024</v>
      </c>
      <c r="K218" s="200">
        <v>2024</v>
      </c>
      <c r="L218" s="200" t="s">
        <v>312</v>
      </c>
      <c r="M218" s="201" t="s">
        <v>140</v>
      </c>
    </row>
    <row r="219" spans="1:13" s="97" customFormat="1" ht="18" customHeight="1" thickBot="1">
      <c r="A219" s="391"/>
      <c r="B219" s="392"/>
      <c r="C219" s="392"/>
      <c r="D219" s="392"/>
      <c r="E219" s="392"/>
      <c r="F219" s="393"/>
      <c r="G219" s="206"/>
      <c r="H219" s="207"/>
      <c r="I219" s="207"/>
      <c r="J219" s="207"/>
      <c r="K219" s="207"/>
      <c r="L219" s="207"/>
      <c r="M219" s="208"/>
    </row>
    <row r="220" spans="1:13" s="97" customFormat="1" ht="18" customHeight="1">
      <c r="A220" s="209"/>
      <c r="B220" s="210" t="s">
        <v>51</v>
      </c>
      <c r="C220" s="211"/>
      <c r="D220" s="210"/>
      <c r="E220" s="210"/>
      <c r="F220" s="212"/>
      <c r="G220" s="213"/>
      <c r="H220" s="225"/>
      <c r="I220" s="226"/>
      <c r="J220" s="62"/>
      <c r="K220" s="62"/>
      <c r="L220" s="62"/>
      <c r="M220" s="62"/>
    </row>
    <row r="221" spans="1:13" s="97" customFormat="1" ht="18" customHeight="1">
      <c r="A221" s="133"/>
      <c r="B221" s="127"/>
      <c r="C221" s="127" t="s">
        <v>102</v>
      </c>
      <c r="D221" s="127"/>
      <c r="E221" s="127"/>
      <c r="F221" s="128"/>
      <c r="G221" s="129"/>
      <c r="H221" s="167"/>
      <c r="I221" s="168"/>
      <c r="J221" s="63"/>
      <c r="K221" s="63"/>
      <c r="L221" s="63"/>
      <c r="M221" s="63"/>
    </row>
    <row r="222" spans="1:13" s="97" customFormat="1" ht="17.25" customHeight="1">
      <c r="A222" s="133"/>
      <c r="B222" s="127"/>
      <c r="C222" s="127"/>
      <c r="D222" s="127" t="s">
        <v>103</v>
      </c>
      <c r="E222" s="127"/>
      <c r="F222" s="128"/>
      <c r="G222" s="129" t="s">
        <v>156</v>
      </c>
      <c r="H222" s="130" t="s">
        <v>196</v>
      </c>
      <c r="I222" s="135">
        <f>12649704.68+38283</f>
        <v>12687987.68</v>
      </c>
      <c r="J222" s="39">
        <v>6365106</v>
      </c>
      <c r="K222" s="39">
        <f>13209388-J222</f>
        <v>6844282</v>
      </c>
      <c r="L222" s="39">
        <f>SUM(K222+J222)</f>
        <v>13209388</v>
      </c>
      <c r="M222" s="39">
        <v>14613856</v>
      </c>
    </row>
    <row r="223" spans="1:13" s="97" customFormat="1" ht="18" customHeight="1">
      <c r="A223" s="133"/>
      <c r="B223" s="127"/>
      <c r="C223" s="127" t="s">
        <v>104</v>
      </c>
      <c r="D223" s="127"/>
      <c r="E223" s="127"/>
      <c r="F223" s="128"/>
      <c r="G223" s="129"/>
      <c r="H223" s="167"/>
      <c r="I223" s="135"/>
      <c r="J223" s="39"/>
      <c r="K223" s="39"/>
      <c r="L223" s="39"/>
      <c r="M223" s="39"/>
    </row>
    <row r="224" spans="1:13" s="97" customFormat="1" ht="18" customHeight="1">
      <c r="A224" s="133"/>
      <c r="B224" s="127"/>
      <c r="C224" s="127"/>
      <c r="D224" s="127" t="s">
        <v>105</v>
      </c>
      <c r="E224" s="127"/>
      <c r="F224" s="128"/>
      <c r="G224" s="129" t="s">
        <v>157</v>
      </c>
      <c r="H224" s="130" t="s">
        <v>197</v>
      </c>
      <c r="I224" s="135">
        <f>452727.28+1000</f>
        <v>453727.28</v>
      </c>
      <c r="J224" s="39">
        <v>228000</v>
      </c>
      <c r="K224" s="39">
        <f>480000-J224</f>
        <v>252000</v>
      </c>
      <c r="L224" s="39">
        <f t="shared" ref="L224:L242" si="11">SUM(K224+J224)</f>
        <v>480000</v>
      </c>
      <c r="M224" s="39">
        <v>480000</v>
      </c>
    </row>
    <row r="225" spans="1:13" s="97" customFormat="1" ht="18" customHeight="1">
      <c r="A225" s="133"/>
      <c r="B225" s="127"/>
      <c r="C225" s="127"/>
      <c r="D225" s="127" t="s">
        <v>107</v>
      </c>
      <c r="E225" s="127"/>
      <c r="F225" s="128"/>
      <c r="G225" s="129" t="s">
        <v>158</v>
      </c>
      <c r="H225" s="130" t="s">
        <v>198</v>
      </c>
      <c r="I225" s="135">
        <f>918637.5+3187.5</f>
        <v>921825</v>
      </c>
      <c r="J225" s="39">
        <v>525300</v>
      </c>
      <c r="K225" s="39">
        <f>1050600-J225</f>
        <v>525300</v>
      </c>
      <c r="L225" s="39">
        <f t="shared" si="11"/>
        <v>1050600</v>
      </c>
      <c r="M225" s="39">
        <v>1050600</v>
      </c>
    </row>
    <row r="226" spans="1:13" s="97" customFormat="1" ht="18" customHeight="1">
      <c r="A226" s="133"/>
      <c r="B226" s="127"/>
      <c r="C226" s="127"/>
      <c r="D226" s="127" t="s">
        <v>106</v>
      </c>
      <c r="E226" s="127"/>
      <c r="F226" s="128"/>
      <c r="G226" s="129" t="s">
        <v>159</v>
      </c>
      <c r="H226" s="130" t="s">
        <v>199</v>
      </c>
      <c r="I226" s="135">
        <f>831937.5+3187.5</f>
        <v>835125</v>
      </c>
      <c r="J226" s="39">
        <v>476850</v>
      </c>
      <c r="K226" s="39">
        <f>1050600-J226</f>
        <v>573750</v>
      </c>
      <c r="L226" s="39">
        <f t="shared" si="11"/>
        <v>1050600</v>
      </c>
      <c r="M226" s="39">
        <v>1050600</v>
      </c>
    </row>
    <row r="227" spans="1:13" s="97" customFormat="1" ht="18" customHeight="1">
      <c r="A227" s="133"/>
      <c r="B227" s="127"/>
      <c r="C227" s="127"/>
      <c r="D227" s="127" t="s">
        <v>108</v>
      </c>
      <c r="E227" s="127"/>
      <c r="F227" s="128"/>
      <c r="G227" s="129" t="s">
        <v>160</v>
      </c>
      <c r="H227" s="130" t="s">
        <v>200</v>
      </c>
      <c r="I227" s="135">
        <v>114000</v>
      </c>
      <c r="J227" s="39">
        <v>133000</v>
      </c>
      <c r="K227" s="39">
        <f>139000-J227</f>
        <v>6000</v>
      </c>
      <c r="L227" s="39">
        <f t="shared" si="11"/>
        <v>139000</v>
      </c>
      <c r="M227" s="39">
        <v>140000</v>
      </c>
    </row>
    <row r="228" spans="1:13" s="97" customFormat="1" ht="18" customHeight="1">
      <c r="A228" s="133"/>
      <c r="B228" s="127"/>
      <c r="C228" s="127"/>
      <c r="D228" s="127" t="s">
        <v>194</v>
      </c>
      <c r="E228" s="127"/>
      <c r="F228" s="128"/>
      <c r="G228" s="129" t="s">
        <v>162</v>
      </c>
      <c r="H228" s="130" t="s">
        <v>201</v>
      </c>
      <c r="I228" s="135">
        <v>86000</v>
      </c>
      <c r="J228" s="39">
        <v>0</v>
      </c>
      <c r="K228" s="39">
        <f>100000-J228</f>
        <v>100000</v>
      </c>
      <c r="L228" s="39">
        <f t="shared" si="11"/>
        <v>100000</v>
      </c>
      <c r="M228" s="39">
        <v>100000</v>
      </c>
    </row>
    <row r="229" spans="1:13" s="97" customFormat="1" ht="18" customHeight="1">
      <c r="A229" s="133"/>
      <c r="B229" s="127"/>
      <c r="C229" s="127"/>
      <c r="D229" s="127" t="s">
        <v>110</v>
      </c>
      <c r="E229" s="127"/>
      <c r="F229" s="128"/>
      <c r="G229" s="129" t="s">
        <v>92</v>
      </c>
      <c r="H229" s="130" t="s">
        <v>202</v>
      </c>
      <c r="I229" s="135"/>
      <c r="J229" s="39">
        <v>10000</v>
      </c>
      <c r="K229" s="39">
        <f>25000-J229</f>
        <v>15000</v>
      </c>
      <c r="L229" s="39">
        <f t="shared" si="11"/>
        <v>25000</v>
      </c>
      <c r="M229" s="39">
        <v>0</v>
      </c>
    </row>
    <row r="230" spans="1:13" s="97" customFormat="1" ht="18" customHeight="1">
      <c r="A230" s="133"/>
      <c r="B230" s="127"/>
      <c r="C230" s="127"/>
      <c r="D230" s="127" t="s">
        <v>354</v>
      </c>
      <c r="E230" s="127"/>
      <c r="F230" s="128"/>
      <c r="G230" s="129" t="s">
        <v>92</v>
      </c>
      <c r="H230" s="130" t="s">
        <v>202</v>
      </c>
      <c r="I230" s="135"/>
      <c r="J230" s="39">
        <v>0</v>
      </c>
      <c r="K230" s="39">
        <f>0-J230</f>
        <v>0</v>
      </c>
      <c r="L230" s="39">
        <f t="shared" si="11"/>
        <v>0</v>
      </c>
      <c r="M230" s="39"/>
    </row>
    <row r="231" spans="1:13" s="97" customFormat="1" ht="18" customHeight="1">
      <c r="A231" s="133"/>
      <c r="B231" s="127"/>
      <c r="C231" s="127"/>
      <c r="D231" s="127" t="s">
        <v>421</v>
      </c>
      <c r="E231" s="127"/>
      <c r="F231" s="128"/>
      <c r="G231" s="129"/>
      <c r="H231" s="130" t="s">
        <v>202</v>
      </c>
      <c r="I231" s="135"/>
      <c r="J231" s="39">
        <v>0</v>
      </c>
      <c r="K231" s="39">
        <f>0-J231</f>
        <v>0</v>
      </c>
      <c r="L231" s="39">
        <f t="shared" si="11"/>
        <v>0</v>
      </c>
      <c r="M231" s="39">
        <v>140000</v>
      </c>
    </row>
    <row r="232" spans="1:13" s="97" customFormat="1" ht="18" customHeight="1">
      <c r="A232" s="133"/>
      <c r="B232" s="127"/>
      <c r="C232" s="127"/>
      <c r="D232" s="127" t="s">
        <v>112</v>
      </c>
      <c r="E232" s="127"/>
      <c r="F232" s="128"/>
      <c r="G232" s="129" t="s">
        <v>165</v>
      </c>
      <c r="H232" s="130" t="s">
        <v>203</v>
      </c>
      <c r="I232" s="135">
        <v>95000</v>
      </c>
      <c r="J232" s="39">
        <v>0</v>
      </c>
      <c r="K232" s="39">
        <f>100000-J232</f>
        <v>100000</v>
      </c>
      <c r="L232" s="39">
        <f t="shared" si="11"/>
        <v>100000</v>
      </c>
      <c r="M232" s="39">
        <v>100000</v>
      </c>
    </row>
    <row r="233" spans="1:13" s="97" customFormat="1" ht="18" customHeight="1">
      <c r="A233" s="133"/>
      <c r="B233" s="127"/>
      <c r="C233" s="127"/>
      <c r="D233" s="127" t="s">
        <v>252</v>
      </c>
      <c r="E233" s="127"/>
      <c r="F233" s="127"/>
      <c r="G233" s="138" t="s">
        <v>92</v>
      </c>
      <c r="H233" s="130" t="s">
        <v>202</v>
      </c>
      <c r="I233" s="135">
        <v>1060748</v>
      </c>
      <c r="J233" s="39">
        <v>1060851</v>
      </c>
      <c r="K233" s="39">
        <f>1080551-J233</f>
        <v>19700</v>
      </c>
      <c r="L233" s="39">
        <f t="shared" si="11"/>
        <v>1080551</v>
      </c>
      <c r="M233" s="39">
        <v>1196303</v>
      </c>
    </row>
    <row r="234" spans="1:13" s="97" customFormat="1" ht="18" customHeight="1">
      <c r="A234" s="133"/>
      <c r="B234" s="127"/>
      <c r="C234" s="127"/>
      <c r="D234" s="127" t="s">
        <v>113</v>
      </c>
      <c r="E234" s="127"/>
      <c r="F234" s="128"/>
      <c r="G234" s="129" t="s">
        <v>166</v>
      </c>
      <c r="H234" s="130" t="s">
        <v>204</v>
      </c>
      <c r="I234" s="135">
        <v>1060851</v>
      </c>
      <c r="J234" s="39">
        <v>0</v>
      </c>
      <c r="K234" s="39">
        <f>1129269-J234</f>
        <v>1129269</v>
      </c>
      <c r="L234" s="39">
        <f t="shared" si="11"/>
        <v>1129269</v>
      </c>
      <c r="M234" s="39">
        <v>1260000</v>
      </c>
    </row>
    <row r="235" spans="1:13" s="97" customFormat="1" ht="18" customHeight="1">
      <c r="A235" s="133"/>
      <c r="B235" s="127"/>
      <c r="C235" s="127"/>
      <c r="D235" s="127" t="s">
        <v>190</v>
      </c>
      <c r="E235" s="127"/>
      <c r="F235" s="128"/>
      <c r="G235" s="129" t="s">
        <v>167</v>
      </c>
      <c r="H235" s="130" t="s">
        <v>205</v>
      </c>
      <c r="I235" s="135">
        <f>1397830.08+23104.25</f>
        <v>1420934.33</v>
      </c>
      <c r="J235" s="39">
        <v>636510.6</v>
      </c>
      <c r="K235" s="39">
        <f>1589000-J235</f>
        <v>952489.4</v>
      </c>
      <c r="L235" s="39">
        <f t="shared" si="11"/>
        <v>1589000</v>
      </c>
      <c r="M235" s="39">
        <v>1754000</v>
      </c>
    </row>
    <row r="236" spans="1:13" s="97" customFormat="1" ht="18" customHeight="1">
      <c r="A236" s="133"/>
      <c r="B236" s="127"/>
      <c r="C236" s="127"/>
      <c r="D236" s="127" t="s">
        <v>114</v>
      </c>
      <c r="E236" s="127"/>
      <c r="F236" s="128"/>
      <c r="G236" s="129" t="s">
        <v>168</v>
      </c>
      <c r="H236" s="130" t="s">
        <v>206</v>
      </c>
      <c r="I236" s="135">
        <f>20900+1900</f>
        <v>22800</v>
      </c>
      <c r="J236" s="39">
        <v>17100</v>
      </c>
      <c r="K236" s="39">
        <f>48000-J236</f>
        <v>30900</v>
      </c>
      <c r="L236" s="39">
        <f t="shared" si="11"/>
        <v>48000</v>
      </c>
      <c r="M236" s="39">
        <v>48000</v>
      </c>
    </row>
    <row r="237" spans="1:13" s="97" customFormat="1" ht="18" customHeight="1">
      <c r="A237" s="133"/>
      <c r="B237" s="127"/>
      <c r="C237" s="127"/>
      <c r="D237" s="127" t="s">
        <v>115</v>
      </c>
      <c r="E237" s="127"/>
      <c r="F237" s="128"/>
      <c r="G237" s="129" t="s">
        <v>169</v>
      </c>
      <c r="H237" s="130" t="s">
        <v>207</v>
      </c>
      <c r="I237" s="135">
        <v>214662.64</v>
      </c>
      <c r="J237" s="39">
        <v>123035.66</v>
      </c>
      <c r="K237" s="39">
        <f>332000-J237</f>
        <v>208964.34</v>
      </c>
      <c r="L237" s="39">
        <f t="shared" si="11"/>
        <v>332000</v>
      </c>
      <c r="M237" s="39">
        <v>366000</v>
      </c>
    </row>
    <row r="238" spans="1:13" s="97" customFormat="1" ht="18" customHeight="1">
      <c r="A238" s="133"/>
      <c r="B238" s="127"/>
      <c r="C238" s="127"/>
      <c r="D238" s="127" t="s">
        <v>189</v>
      </c>
      <c r="E238" s="127"/>
      <c r="F238" s="128"/>
      <c r="G238" s="129" t="s">
        <v>170</v>
      </c>
      <c r="H238" s="130" t="s">
        <v>208</v>
      </c>
      <c r="I238" s="135">
        <f>21500+200</f>
        <v>21700</v>
      </c>
      <c r="J238" s="39">
        <v>9500</v>
      </c>
      <c r="K238" s="39">
        <f>24000-J238</f>
        <v>14500</v>
      </c>
      <c r="L238" s="39">
        <f t="shared" si="11"/>
        <v>24000</v>
      </c>
      <c r="M238" s="39">
        <v>24000</v>
      </c>
    </row>
    <row r="239" spans="1:13" s="97" customFormat="1" ht="18" customHeight="1">
      <c r="A239" s="133"/>
      <c r="B239" s="127"/>
      <c r="C239" s="127"/>
      <c r="D239" s="127" t="s">
        <v>54</v>
      </c>
      <c r="E239" s="127"/>
      <c r="F239" s="128"/>
      <c r="G239" s="129" t="s">
        <v>171</v>
      </c>
      <c r="H239" s="130" t="s">
        <v>209</v>
      </c>
      <c r="I239" s="135"/>
      <c r="J239" s="39">
        <v>0</v>
      </c>
      <c r="K239" s="39">
        <f>205403.21-J239</f>
        <v>205403.21</v>
      </c>
      <c r="L239" s="39">
        <f t="shared" si="11"/>
        <v>205403.21</v>
      </c>
      <c r="M239" s="39">
        <v>3000000</v>
      </c>
    </row>
    <row r="240" spans="1:13" s="97" customFormat="1" ht="18" customHeight="1">
      <c r="A240" s="133"/>
      <c r="B240" s="127"/>
      <c r="C240" s="127"/>
      <c r="D240" s="127" t="s">
        <v>117</v>
      </c>
      <c r="E240" s="127"/>
      <c r="F240" s="128"/>
      <c r="G240" s="129" t="s">
        <v>67</v>
      </c>
      <c r="H240" s="130" t="s">
        <v>220</v>
      </c>
      <c r="I240" s="135"/>
      <c r="J240" s="39">
        <v>1315452.23</v>
      </c>
      <c r="K240" s="39">
        <f>1315452.23-J240</f>
        <v>0</v>
      </c>
      <c r="L240" s="39">
        <f t="shared" si="11"/>
        <v>1315452.23</v>
      </c>
      <c r="M240" s="39">
        <v>0</v>
      </c>
    </row>
    <row r="241" spans="1:13" s="97" customFormat="1" ht="18" customHeight="1">
      <c r="A241" s="133"/>
      <c r="B241" s="127"/>
      <c r="C241" s="127"/>
      <c r="D241" s="127" t="s">
        <v>343</v>
      </c>
      <c r="E241" s="127"/>
      <c r="F241" s="128"/>
      <c r="G241" s="129"/>
      <c r="H241" s="130" t="s">
        <v>220</v>
      </c>
      <c r="I241" s="135">
        <f>342000+2000</f>
        <v>344000</v>
      </c>
      <c r="J241" s="39">
        <v>0</v>
      </c>
      <c r="K241" s="39">
        <f>380000-J241</f>
        <v>380000</v>
      </c>
      <c r="L241" s="39">
        <f t="shared" si="11"/>
        <v>380000</v>
      </c>
      <c r="M241" s="39">
        <v>0</v>
      </c>
    </row>
    <row r="242" spans="1:13" s="97" customFormat="1" ht="18" customHeight="1">
      <c r="A242" s="133"/>
      <c r="B242" s="127"/>
      <c r="C242" s="127"/>
      <c r="D242" s="191" t="s">
        <v>423</v>
      </c>
      <c r="E242" s="127"/>
      <c r="F242" s="128"/>
      <c r="G242" s="129"/>
      <c r="H242" s="130" t="s">
        <v>220</v>
      </c>
      <c r="I242" s="135">
        <v>570000</v>
      </c>
      <c r="J242" s="39"/>
      <c r="K242" s="39">
        <f>570000-J242</f>
        <v>570000</v>
      </c>
      <c r="L242" s="39">
        <f t="shared" si="11"/>
        <v>570000</v>
      </c>
      <c r="M242" s="39"/>
    </row>
    <row r="243" spans="1:13" s="144" customFormat="1" ht="18" customHeight="1">
      <c r="A243" s="139"/>
      <c r="B243" s="140"/>
      <c r="C243" s="140"/>
      <c r="D243" s="140" t="s">
        <v>53</v>
      </c>
      <c r="E243" s="140"/>
      <c r="F243" s="141"/>
      <c r="G243" s="142"/>
      <c r="H243" s="169"/>
      <c r="I243" s="143">
        <f>SUM(I222:I242)</f>
        <v>19909360.93</v>
      </c>
      <c r="J243" s="143">
        <f t="shared" ref="J243:M243" si="12">SUM(J222:J242)</f>
        <v>10900705.49</v>
      </c>
      <c r="K243" s="143">
        <f t="shared" si="12"/>
        <v>11927557.950000001</v>
      </c>
      <c r="L243" s="143">
        <f t="shared" si="12"/>
        <v>22828263.440000001</v>
      </c>
      <c r="M243" s="143">
        <f t="shared" si="12"/>
        <v>25323359</v>
      </c>
    </row>
    <row r="244" spans="1:13" s="97" customFormat="1" ht="18" customHeight="1">
      <c r="A244" s="133"/>
      <c r="B244" s="127" t="s">
        <v>118</v>
      </c>
      <c r="C244" s="127"/>
      <c r="D244" s="127"/>
      <c r="E244" s="127"/>
      <c r="F244" s="128"/>
      <c r="G244" s="129"/>
      <c r="H244" s="167"/>
      <c r="I244" s="135"/>
      <c r="J244" s="39"/>
      <c r="K244" s="39"/>
      <c r="L244" s="39"/>
      <c r="M244" s="39"/>
    </row>
    <row r="245" spans="1:13" s="97" customFormat="1" ht="18" customHeight="1">
      <c r="A245" s="133"/>
      <c r="B245" s="127"/>
      <c r="C245" s="127"/>
      <c r="D245" s="127" t="s">
        <v>119</v>
      </c>
      <c r="E245" s="127"/>
      <c r="F245" s="128"/>
      <c r="G245" s="129" t="s">
        <v>60</v>
      </c>
      <c r="H245" s="130" t="s">
        <v>210</v>
      </c>
      <c r="I245" s="135">
        <f>1520106.55+13350</f>
        <v>1533456.55</v>
      </c>
      <c r="J245" s="39">
        <v>551288.18000000005</v>
      </c>
      <c r="K245" s="39">
        <f>1396000-J245</f>
        <v>844711.82</v>
      </c>
      <c r="L245" s="39">
        <f t="shared" ref="L245:L257" si="13">SUM(K245+J245)</f>
        <v>1396000</v>
      </c>
      <c r="M245" s="39">
        <v>2000000</v>
      </c>
    </row>
    <row r="246" spans="1:13" s="97" customFormat="1" ht="18" customHeight="1">
      <c r="A246" s="133"/>
      <c r="B246" s="127"/>
      <c r="C246" s="127"/>
      <c r="D246" s="127" t="s">
        <v>418</v>
      </c>
      <c r="E246" s="127"/>
      <c r="F246" s="128"/>
      <c r="G246" s="129"/>
      <c r="H246" s="130" t="s">
        <v>419</v>
      </c>
      <c r="I246" s="135">
        <v>174512</v>
      </c>
      <c r="J246" s="39">
        <v>0</v>
      </c>
      <c r="K246" s="39">
        <f>0-J246</f>
        <v>0</v>
      </c>
      <c r="L246" s="39">
        <f t="shared" si="13"/>
        <v>0</v>
      </c>
      <c r="M246" s="39">
        <v>50000</v>
      </c>
    </row>
    <row r="247" spans="1:13" s="97" customFormat="1" ht="18" customHeight="1">
      <c r="A247" s="133"/>
      <c r="B247" s="127"/>
      <c r="C247" s="127"/>
      <c r="D247" s="127" t="s">
        <v>91</v>
      </c>
      <c r="E247" s="127"/>
      <c r="F247" s="128"/>
      <c r="G247" s="129" t="s">
        <v>61</v>
      </c>
      <c r="H247" s="130" t="s">
        <v>211</v>
      </c>
      <c r="I247" s="135">
        <v>981086.7</v>
      </c>
      <c r="J247" s="39">
        <v>449948.58</v>
      </c>
      <c r="K247" s="39">
        <f>1215000-J247</f>
        <v>765051.41999999993</v>
      </c>
      <c r="L247" s="39">
        <f t="shared" si="13"/>
        <v>1215000</v>
      </c>
      <c r="M247" s="39">
        <v>1250000</v>
      </c>
    </row>
    <row r="248" spans="1:13" s="97" customFormat="1" ht="18" customHeight="1">
      <c r="A248" s="133"/>
      <c r="B248" s="127"/>
      <c r="C248" s="127"/>
      <c r="D248" s="127" t="s">
        <v>58</v>
      </c>
      <c r="E248" s="127"/>
      <c r="F248" s="128"/>
      <c r="G248" s="129" t="s">
        <v>63</v>
      </c>
      <c r="H248" s="130" t="s">
        <v>212</v>
      </c>
      <c r="I248" s="135">
        <v>676197.12</v>
      </c>
      <c r="J248" s="39">
        <v>247178.28</v>
      </c>
      <c r="K248" s="39">
        <f>900000-J248</f>
        <v>652821.72</v>
      </c>
      <c r="L248" s="39">
        <f t="shared" si="13"/>
        <v>900000</v>
      </c>
      <c r="M248" s="39">
        <v>1300000</v>
      </c>
    </row>
    <row r="249" spans="1:13" s="97" customFormat="1" ht="18" customHeight="1">
      <c r="A249" s="133"/>
      <c r="B249" s="127"/>
      <c r="C249" s="127"/>
      <c r="D249" s="127" t="s">
        <v>307</v>
      </c>
      <c r="E249" s="127"/>
      <c r="F249" s="128"/>
      <c r="G249" s="129" t="s">
        <v>174</v>
      </c>
      <c r="H249" s="130" t="s">
        <v>224</v>
      </c>
      <c r="I249" s="135">
        <f>252923.01+20000</f>
        <v>272923.01</v>
      </c>
      <c r="J249" s="39">
        <v>97576.72</v>
      </c>
      <c r="K249" s="39">
        <f>350000-J249</f>
        <v>252423.28</v>
      </c>
      <c r="L249" s="39">
        <f t="shared" si="13"/>
        <v>350000</v>
      </c>
      <c r="M249" s="39">
        <v>750000</v>
      </c>
    </row>
    <row r="250" spans="1:13" s="97" customFormat="1" ht="18" customHeight="1">
      <c r="A250" s="133"/>
      <c r="B250" s="127"/>
      <c r="C250" s="127"/>
      <c r="D250" s="127" t="s">
        <v>123</v>
      </c>
      <c r="E250" s="127"/>
      <c r="F250" s="128"/>
      <c r="G250" s="129" t="s">
        <v>175</v>
      </c>
      <c r="H250" s="130" t="s">
        <v>213</v>
      </c>
      <c r="I250" s="135"/>
      <c r="J250" s="39">
        <v>0</v>
      </c>
      <c r="K250" s="39">
        <f>0-J250</f>
        <v>0</v>
      </c>
      <c r="L250" s="39">
        <f t="shared" si="13"/>
        <v>0</v>
      </c>
      <c r="M250" s="39">
        <v>10000</v>
      </c>
    </row>
    <row r="251" spans="1:13" s="97" customFormat="1" ht="18" customHeight="1">
      <c r="A251" s="133"/>
      <c r="B251" s="127"/>
      <c r="C251" s="127"/>
      <c r="D251" s="127" t="s">
        <v>124</v>
      </c>
      <c r="E251" s="127"/>
      <c r="F251" s="128"/>
      <c r="G251" s="129" t="s">
        <v>176</v>
      </c>
      <c r="H251" s="130" t="s">
        <v>214</v>
      </c>
      <c r="I251" s="135">
        <v>92869.46</v>
      </c>
      <c r="J251" s="39">
        <v>36700</v>
      </c>
      <c r="K251" s="39">
        <f>96000-J251</f>
        <v>59300</v>
      </c>
      <c r="L251" s="39">
        <f t="shared" si="13"/>
        <v>96000</v>
      </c>
      <c r="M251" s="39">
        <v>96000</v>
      </c>
    </row>
    <row r="252" spans="1:13" s="97" customFormat="1" ht="18" customHeight="1">
      <c r="A252" s="133"/>
      <c r="B252" s="127"/>
      <c r="C252" s="127"/>
      <c r="D252" s="127" t="s">
        <v>125</v>
      </c>
      <c r="E252" s="127"/>
      <c r="F252" s="128"/>
      <c r="G252" s="129" t="s">
        <v>64</v>
      </c>
      <c r="H252" s="130" t="s">
        <v>214</v>
      </c>
      <c r="I252" s="135">
        <f>397700+1500</f>
        <v>399200</v>
      </c>
      <c r="J252" s="39">
        <v>183500</v>
      </c>
      <c r="K252" s="39">
        <f>440400-J252</f>
        <v>256900</v>
      </c>
      <c r="L252" s="39">
        <f t="shared" si="13"/>
        <v>440400</v>
      </c>
      <c r="M252" s="39">
        <v>296400</v>
      </c>
    </row>
    <row r="253" spans="1:13" s="97" customFormat="1" ht="18" customHeight="1">
      <c r="A253" s="133"/>
      <c r="B253" s="127"/>
      <c r="C253" s="127"/>
      <c r="D253" s="127" t="s">
        <v>126</v>
      </c>
      <c r="E253" s="127"/>
      <c r="F253" s="128"/>
      <c r="G253" s="129" t="s">
        <v>177</v>
      </c>
      <c r="H253" s="130" t="s">
        <v>225</v>
      </c>
      <c r="I253" s="135">
        <f>517500+195000</f>
        <v>712500</v>
      </c>
      <c r="J253" s="39">
        <v>0</v>
      </c>
      <c r="K253" s="39">
        <f>700000-J253</f>
        <v>700000</v>
      </c>
      <c r="L253" s="39">
        <f t="shared" si="13"/>
        <v>700000</v>
      </c>
      <c r="M253" s="39">
        <v>1500000</v>
      </c>
    </row>
    <row r="254" spans="1:13" s="97" customFormat="1" ht="18" customHeight="1">
      <c r="A254" s="133"/>
      <c r="B254" s="127"/>
      <c r="C254" s="127"/>
      <c r="D254" s="127" t="s">
        <v>127</v>
      </c>
      <c r="E254" s="127"/>
      <c r="F254" s="128"/>
      <c r="G254" s="129" t="s">
        <v>178</v>
      </c>
      <c r="H254" s="130" t="s">
        <v>226</v>
      </c>
      <c r="I254" s="135">
        <v>287019</v>
      </c>
      <c r="J254" s="39">
        <v>148050</v>
      </c>
      <c r="K254" s="39">
        <f>350000-J254</f>
        <v>201950</v>
      </c>
      <c r="L254" s="39">
        <f t="shared" si="13"/>
        <v>350000</v>
      </c>
      <c r="M254" s="39">
        <v>500000</v>
      </c>
    </row>
    <row r="255" spans="1:13" s="97" customFormat="1" ht="18" customHeight="1">
      <c r="A255" s="133"/>
      <c r="B255" s="127"/>
      <c r="C255" s="127"/>
      <c r="D255" s="127" t="s">
        <v>308</v>
      </c>
      <c r="E255" s="127"/>
      <c r="F255" s="128"/>
      <c r="G255" s="129" t="s">
        <v>179</v>
      </c>
      <c r="H255" s="130" t="s">
        <v>227</v>
      </c>
      <c r="I255" s="135">
        <v>96353.12</v>
      </c>
      <c r="J255" s="39">
        <v>72033.789999999994</v>
      </c>
      <c r="K255" s="39">
        <f>200000-J255</f>
        <v>127966.21</v>
      </c>
      <c r="L255" s="39">
        <f t="shared" si="13"/>
        <v>200000</v>
      </c>
      <c r="M255" s="39">
        <v>300000</v>
      </c>
    </row>
    <row r="256" spans="1:13" s="97" customFormat="1" ht="18" customHeight="1">
      <c r="A256" s="133"/>
      <c r="B256" s="127"/>
      <c r="C256" s="127"/>
      <c r="D256" s="127" t="s">
        <v>309</v>
      </c>
      <c r="E256" s="127"/>
      <c r="F256" s="128"/>
      <c r="G256" s="129" t="s">
        <v>65</v>
      </c>
      <c r="H256" s="130" t="s">
        <v>215</v>
      </c>
      <c r="I256" s="135">
        <v>28900</v>
      </c>
      <c r="J256" s="39">
        <v>1500</v>
      </c>
      <c r="K256" s="39">
        <f>100000-J256</f>
        <v>98500</v>
      </c>
      <c r="L256" s="39">
        <f t="shared" si="13"/>
        <v>100000</v>
      </c>
      <c r="M256" s="39">
        <v>300000</v>
      </c>
    </row>
    <row r="257" spans="1:13" s="97" customFormat="1" ht="18" customHeight="1">
      <c r="A257" s="133"/>
      <c r="B257" s="127"/>
      <c r="C257" s="127"/>
      <c r="D257" s="127" t="s">
        <v>323</v>
      </c>
      <c r="E257" s="127"/>
      <c r="F257" s="128"/>
      <c r="G257" s="129"/>
      <c r="H257" s="130" t="s">
        <v>321</v>
      </c>
      <c r="I257" s="135">
        <v>196351.51</v>
      </c>
      <c r="J257" s="39">
        <v>0</v>
      </c>
      <c r="K257" s="39">
        <f>300000-J257</f>
        <v>300000</v>
      </c>
      <c r="L257" s="39">
        <f t="shared" si="13"/>
        <v>300000</v>
      </c>
      <c r="M257" s="39">
        <v>500000</v>
      </c>
    </row>
    <row r="258" spans="1:13" s="97" customFormat="1" ht="18" customHeight="1">
      <c r="A258" s="133"/>
      <c r="B258" s="127"/>
      <c r="C258" s="127"/>
      <c r="D258" s="140" t="s">
        <v>244</v>
      </c>
      <c r="E258" s="127"/>
      <c r="F258" s="128"/>
      <c r="G258" s="129"/>
      <c r="H258" s="167"/>
      <c r="I258" s="143">
        <f>SUM(I245:I257)</f>
        <v>5451368.4699999997</v>
      </c>
      <c r="J258" s="143">
        <f>SUM(J245:J257)</f>
        <v>1787775.55</v>
      </c>
      <c r="K258" s="143">
        <f>SUM(K245:K257)</f>
        <v>4259624.4499999993</v>
      </c>
      <c r="L258" s="143">
        <f>SUM(L245:L257)</f>
        <v>6047400</v>
      </c>
      <c r="M258" s="143">
        <f>SUM(M245:M257)</f>
        <v>8852400</v>
      </c>
    </row>
    <row r="259" spans="1:13" s="97" customFormat="1" ht="18" customHeight="1">
      <c r="A259" s="133"/>
      <c r="B259" s="127" t="s">
        <v>132</v>
      </c>
      <c r="C259" s="127"/>
      <c r="D259" s="127"/>
      <c r="E259" s="127"/>
      <c r="F259" s="128"/>
      <c r="G259" s="129"/>
      <c r="H259" s="167"/>
      <c r="I259" s="135"/>
      <c r="J259" s="39"/>
      <c r="K259" s="39"/>
      <c r="L259" s="39"/>
      <c r="M259" s="46"/>
    </row>
    <row r="260" spans="1:13" s="97" customFormat="1" ht="18" customHeight="1">
      <c r="A260" s="133"/>
      <c r="B260" s="127"/>
      <c r="C260" s="127"/>
      <c r="D260" s="127" t="s">
        <v>195</v>
      </c>
      <c r="E260" s="127"/>
      <c r="F260" s="128"/>
      <c r="G260" s="129" t="s">
        <v>285</v>
      </c>
      <c r="H260" s="130" t="s">
        <v>286</v>
      </c>
      <c r="I260" s="135">
        <v>0</v>
      </c>
      <c r="J260" s="39">
        <v>0</v>
      </c>
      <c r="K260" s="39">
        <f>0-J260</f>
        <v>0</v>
      </c>
      <c r="L260" s="39">
        <f>SUM(K260+J260)</f>
        <v>0</v>
      </c>
      <c r="M260" s="39">
        <v>200000</v>
      </c>
    </row>
    <row r="261" spans="1:13" s="97" customFormat="1" ht="18" customHeight="1">
      <c r="A261" s="133"/>
      <c r="B261" s="127"/>
      <c r="C261" s="127"/>
      <c r="D261" s="127" t="s">
        <v>284</v>
      </c>
      <c r="E261" s="127"/>
      <c r="F261" s="128"/>
      <c r="G261" s="129" t="s">
        <v>287</v>
      </c>
      <c r="H261" s="130" t="s">
        <v>348</v>
      </c>
      <c r="I261" s="135">
        <v>0</v>
      </c>
      <c r="J261" s="39">
        <v>0</v>
      </c>
      <c r="K261" s="39">
        <f t="shared" ref="K261:K265" si="14">0-J261</f>
        <v>0</v>
      </c>
      <c r="L261" s="39">
        <f>SUM(K261+J261)</f>
        <v>0</v>
      </c>
      <c r="M261" s="39">
        <v>200000</v>
      </c>
    </row>
    <row r="262" spans="1:13" s="97" customFormat="1" ht="18" customHeight="1">
      <c r="A262" s="133"/>
      <c r="B262" s="127"/>
      <c r="C262" s="127"/>
      <c r="D262" s="127" t="s">
        <v>291</v>
      </c>
      <c r="E262" s="127"/>
      <c r="F262" s="128"/>
      <c r="G262" s="129"/>
      <c r="H262" s="130" t="s">
        <v>294</v>
      </c>
      <c r="I262" s="135"/>
      <c r="J262" s="39">
        <v>0</v>
      </c>
      <c r="K262" s="39">
        <f>1830000-J262</f>
        <v>1830000</v>
      </c>
      <c r="L262" s="39">
        <f t="shared" ref="L262" si="15">SUM(K262+J262)</f>
        <v>1830000</v>
      </c>
      <c r="M262" s="39">
        <v>600000</v>
      </c>
    </row>
    <row r="263" spans="1:13" s="97" customFormat="1" ht="18" customHeight="1">
      <c r="A263" s="133"/>
      <c r="B263" s="127"/>
      <c r="C263" s="127"/>
      <c r="D263" s="127" t="s">
        <v>292</v>
      </c>
      <c r="E263" s="127"/>
      <c r="F263" s="128"/>
      <c r="G263" s="129" t="s">
        <v>303</v>
      </c>
      <c r="H263" s="130" t="s">
        <v>293</v>
      </c>
      <c r="I263" s="135">
        <v>0</v>
      </c>
      <c r="J263" s="39">
        <v>0</v>
      </c>
      <c r="K263" s="39">
        <f t="shared" si="14"/>
        <v>0</v>
      </c>
      <c r="L263" s="39">
        <f>SUM(K263+J263)</f>
        <v>0</v>
      </c>
      <c r="M263" s="39">
        <v>50000</v>
      </c>
    </row>
    <row r="264" spans="1:13" s="97" customFormat="1" ht="18" customHeight="1">
      <c r="A264" s="133"/>
      <c r="B264" s="127"/>
      <c r="C264" s="127"/>
      <c r="D264" s="127" t="s">
        <v>288</v>
      </c>
      <c r="E264" s="127"/>
      <c r="F264" s="128"/>
      <c r="G264" s="129" t="s">
        <v>289</v>
      </c>
      <c r="H264" s="130" t="s">
        <v>290</v>
      </c>
      <c r="I264" s="135">
        <v>0</v>
      </c>
      <c r="J264" s="39">
        <v>0</v>
      </c>
      <c r="K264" s="39">
        <f t="shared" si="14"/>
        <v>0</v>
      </c>
      <c r="L264" s="39">
        <f>SUM(K264+J264)</f>
        <v>0</v>
      </c>
      <c r="M264" s="39">
        <v>200000</v>
      </c>
    </row>
    <row r="265" spans="1:13" s="97" customFormat="1" ht="18" customHeight="1">
      <c r="A265" s="133"/>
      <c r="B265" s="127"/>
      <c r="C265" s="127"/>
      <c r="D265" s="127" t="s">
        <v>463</v>
      </c>
      <c r="E265" s="127"/>
      <c r="F265" s="128"/>
      <c r="G265" s="129" t="s">
        <v>464</v>
      </c>
      <c r="H265" s="130" t="s">
        <v>465</v>
      </c>
      <c r="I265" s="135">
        <v>0</v>
      </c>
      <c r="J265" s="39">
        <v>0</v>
      </c>
      <c r="K265" s="39">
        <f t="shared" si="14"/>
        <v>0</v>
      </c>
      <c r="L265" s="39">
        <f>SUM(K265+J265)</f>
        <v>0</v>
      </c>
      <c r="M265" s="39">
        <v>50000</v>
      </c>
    </row>
    <row r="266" spans="1:13" s="144" customFormat="1" ht="18" customHeight="1">
      <c r="A266" s="139"/>
      <c r="B266" s="140"/>
      <c r="C266" s="140"/>
      <c r="D266" s="140" t="s">
        <v>245</v>
      </c>
      <c r="E266" s="140"/>
      <c r="F266" s="141"/>
      <c r="G266" s="142"/>
      <c r="H266" s="169"/>
      <c r="I266" s="143">
        <f>SUM(I260:I265)</f>
        <v>0</v>
      </c>
      <c r="J266" s="143">
        <f t="shared" ref="J266:L266" si="16">SUM(J260:J265)</f>
        <v>0</v>
      </c>
      <c r="K266" s="143">
        <f t="shared" si="16"/>
        <v>1830000</v>
      </c>
      <c r="L266" s="143">
        <f t="shared" si="16"/>
        <v>1830000</v>
      </c>
      <c r="M266" s="143">
        <f>SUM(M260:M265)</f>
        <v>1300000</v>
      </c>
    </row>
    <row r="267" spans="1:13" s="97" customFormat="1" ht="18" customHeight="1">
      <c r="A267" s="133"/>
      <c r="B267" s="127"/>
      <c r="C267" s="127"/>
      <c r="D267" s="140"/>
      <c r="E267" s="127"/>
      <c r="F267" s="128"/>
      <c r="G267" s="129"/>
      <c r="H267" s="167"/>
      <c r="I267" s="135"/>
      <c r="J267" s="39"/>
      <c r="K267" s="39"/>
      <c r="L267" s="39"/>
      <c r="M267" s="39"/>
    </row>
    <row r="268" spans="1:13" s="97" customFormat="1" ht="18" customHeight="1">
      <c r="A268" s="146" t="s">
        <v>187</v>
      </c>
      <c r="B268" s="148"/>
      <c r="C268" s="148"/>
      <c r="D268" s="148"/>
      <c r="E268" s="148"/>
      <c r="F268" s="149"/>
      <c r="G268" s="166"/>
      <c r="H268" s="170"/>
      <c r="I268" s="152">
        <f>SUM(I266+I258+I243)</f>
        <v>25360729.399999999</v>
      </c>
      <c r="J268" s="152">
        <f>SUM(J266+J258+J243)</f>
        <v>12688481.040000001</v>
      </c>
      <c r="K268" s="152">
        <f>SUM(K266+K258+K243)</f>
        <v>18017182.399999999</v>
      </c>
      <c r="L268" s="152">
        <f>SUM(L266+L258+L243)</f>
        <v>30705663.440000001</v>
      </c>
      <c r="M268" s="152">
        <f>SUM(M266+M258+M243)</f>
        <v>35475759</v>
      </c>
    </row>
    <row r="269" spans="1:13" s="97" customFormat="1" ht="18" customHeight="1">
      <c r="A269" s="386"/>
      <c r="B269" s="386"/>
      <c r="C269" s="386"/>
      <c r="D269" s="386"/>
      <c r="E269" s="386"/>
      <c r="F269" s="386"/>
      <c r="G269" s="386"/>
      <c r="H269" s="386"/>
      <c r="I269" s="386"/>
      <c r="J269" s="386"/>
      <c r="K269" s="386"/>
      <c r="L269" s="386"/>
      <c r="M269" s="386"/>
    </row>
    <row r="270" spans="1:13" s="97" customFormat="1" ht="18" customHeight="1">
      <c r="A270" s="241" t="s">
        <v>490</v>
      </c>
      <c r="B270" s="241"/>
      <c r="C270" s="241"/>
      <c r="D270" s="241"/>
      <c r="E270" s="241"/>
      <c r="F270" s="241"/>
      <c r="G270" s="241"/>
      <c r="H270" s="241"/>
      <c r="I270" s="241"/>
      <c r="J270" s="241"/>
      <c r="K270" s="241"/>
      <c r="L270" s="241"/>
      <c r="M270" s="241"/>
    </row>
    <row r="271" spans="1:13" s="97" customFormat="1" ht="18" customHeight="1">
      <c r="A271" s="93"/>
      <c r="B271" s="94"/>
      <c r="C271" s="93"/>
      <c r="D271" s="93"/>
      <c r="E271" s="93"/>
      <c r="F271" s="95"/>
      <c r="G271" s="93"/>
      <c r="H271" s="96"/>
      <c r="I271" s="96"/>
      <c r="J271" s="92"/>
      <c r="K271" s="61"/>
      <c r="L271" s="61"/>
      <c r="M271" s="55"/>
    </row>
    <row r="272" spans="1:13" s="97" customFormat="1" ht="18" customHeight="1">
      <c r="A272" s="242" t="s">
        <v>491</v>
      </c>
      <c r="B272" s="242"/>
      <c r="C272" s="92"/>
      <c r="D272" s="242"/>
      <c r="E272" s="242"/>
      <c r="F272" s="92"/>
      <c r="G272" s="242"/>
      <c r="H272" s="242"/>
      <c r="I272" s="242" t="s">
        <v>492</v>
      </c>
      <c r="J272" s="242"/>
      <c r="K272" s="242"/>
      <c r="L272" s="242" t="s">
        <v>493</v>
      </c>
      <c r="M272" s="242"/>
    </row>
    <row r="273" spans="1:13" s="97" customFormat="1" ht="18" customHeight="1">
      <c r="A273" s="93"/>
      <c r="B273" s="94"/>
      <c r="C273" s="92"/>
      <c r="D273" s="93"/>
      <c r="E273" s="93"/>
      <c r="F273" s="92"/>
      <c r="G273" s="93"/>
      <c r="H273" s="92"/>
      <c r="I273" s="93"/>
      <c r="J273" s="96"/>
      <c r="K273" s="60"/>
      <c r="L273" s="95"/>
      <c r="M273" s="61"/>
    </row>
    <row r="274" spans="1:13" s="97" customFormat="1" ht="18" customHeight="1">
      <c r="A274" s="404" t="s">
        <v>498</v>
      </c>
      <c r="B274" s="404"/>
      <c r="C274" s="404"/>
      <c r="D274" s="404"/>
      <c r="E274" s="404"/>
      <c r="F274" s="404"/>
      <c r="G274" s="94"/>
      <c r="H274" s="243"/>
      <c r="I274" s="404" t="s">
        <v>494</v>
      </c>
      <c r="J274" s="404"/>
      <c r="K274" s="58"/>
      <c r="L274" s="404" t="s">
        <v>328</v>
      </c>
      <c r="M274" s="404"/>
    </row>
    <row r="275" spans="1:13" s="92" customFormat="1" ht="20.100000000000001" customHeight="1">
      <c r="A275" s="405" t="s">
        <v>495</v>
      </c>
      <c r="B275" s="405"/>
      <c r="C275" s="405"/>
      <c r="D275" s="405"/>
      <c r="E275" s="405"/>
      <c r="F275" s="405"/>
      <c r="G275" s="15"/>
      <c r="H275" s="15"/>
      <c r="I275" s="406" t="s">
        <v>496</v>
      </c>
      <c r="J275" s="406"/>
      <c r="K275" s="15"/>
      <c r="L275" s="405" t="s">
        <v>497</v>
      </c>
      <c r="M275" s="405"/>
    </row>
    <row r="276" spans="1:13" s="92" customFormat="1" ht="15" customHeight="1">
      <c r="A276" s="94"/>
      <c r="B276" s="93"/>
      <c r="C276" s="93"/>
      <c r="D276" s="93"/>
      <c r="E276" s="93"/>
      <c r="F276" s="93"/>
      <c r="G276" s="93"/>
      <c r="H276" s="93"/>
      <c r="I276" s="93"/>
      <c r="J276" s="93"/>
      <c r="K276" s="93"/>
      <c r="L276" s="93"/>
      <c r="M276" s="101"/>
    </row>
    <row r="277" spans="1:13" s="81" customFormat="1" ht="15" customHeight="1">
      <c r="A277" s="407"/>
      <c r="B277" s="407"/>
      <c r="C277" s="407"/>
      <c r="D277" s="407"/>
      <c r="E277" s="407"/>
      <c r="F277" s="407"/>
      <c r="G277" s="407"/>
      <c r="H277" s="407"/>
      <c r="I277" s="407"/>
      <c r="J277" s="407"/>
      <c r="K277" s="407"/>
      <c r="L277" s="407"/>
      <c r="M277" s="407"/>
    </row>
    <row r="278" spans="1:13" s="81" customFormat="1" ht="15" customHeight="1">
      <c r="A278" s="407"/>
      <c r="B278" s="407"/>
      <c r="C278" s="407"/>
      <c r="D278" s="407"/>
      <c r="E278" s="407"/>
      <c r="F278" s="407"/>
      <c r="G278" s="407"/>
      <c r="H278" s="407"/>
      <c r="I278" s="407"/>
      <c r="J278" s="407"/>
      <c r="K278" s="407"/>
      <c r="L278" s="407"/>
      <c r="M278" s="407"/>
    </row>
    <row r="279" spans="1:13" s="81" customFormat="1" ht="15" customHeight="1">
      <c r="A279" s="399" t="s">
        <v>481</v>
      </c>
      <c r="B279" s="399"/>
      <c r="C279" s="399"/>
      <c r="D279" s="399"/>
      <c r="E279" s="399"/>
      <c r="F279" s="399"/>
      <c r="G279" s="399"/>
      <c r="H279" s="399"/>
      <c r="I279" s="399"/>
      <c r="J279" s="399"/>
      <c r="K279" s="399"/>
      <c r="L279" s="399"/>
      <c r="M279" s="399"/>
    </row>
    <row r="280" spans="1:13" s="81" customFormat="1" ht="15" customHeight="1">
      <c r="A280" s="126"/>
      <c r="B280" s="126"/>
      <c r="C280" s="126"/>
      <c r="D280" s="126"/>
      <c r="E280" s="126"/>
      <c r="F280" s="126"/>
      <c r="G280" s="126"/>
      <c r="H280" s="126"/>
      <c r="I280" s="126"/>
      <c r="J280" s="126"/>
      <c r="K280" s="126"/>
      <c r="L280" s="126"/>
      <c r="M280" s="126"/>
    </row>
    <row r="281" spans="1:13" s="81" customFormat="1" ht="15" customHeight="1">
      <c r="A281" s="238" t="s">
        <v>482</v>
      </c>
      <c r="B281" s="238"/>
      <c r="C281" s="238"/>
      <c r="D281" s="239"/>
      <c r="E281" s="239"/>
      <c r="F281" s="238" t="s">
        <v>483</v>
      </c>
      <c r="G281" s="238"/>
      <c r="H281" s="238"/>
      <c r="I281" s="238"/>
      <c r="J281" s="238" t="s">
        <v>484</v>
      </c>
      <c r="K281" s="238" t="str">
        <f>$K$9</f>
        <v>2025</v>
      </c>
      <c r="L281" s="238"/>
      <c r="M281" s="238"/>
    </row>
    <row r="282" spans="1:13" s="81" customFormat="1" ht="18" customHeight="1">
      <c r="A282" s="238" t="s">
        <v>485</v>
      </c>
      <c r="B282" s="238"/>
      <c r="C282" s="238"/>
      <c r="D282" s="239"/>
      <c r="E282" s="238"/>
      <c r="F282" s="238" t="s">
        <v>486</v>
      </c>
      <c r="G282" s="238"/>
      <c r="H282" s="238"/>
      <c r="I282" s="238"/>
      <c r="J282" s="238" t="s">
        <v>487</v>
      </c>
      <c r="K282" s="94" t="s">
        <v>500</v>
      </c>
      <c r="L282" s="238"/>
      <c r="M282" s="238"/>
    </row>
    <row r="283" spans="1:13" s="81" customFormat="1" ht="15.75">
      <c r="A283" s="238" t="s">
        <v>489</v>
      </c>
      <c r="B283" s="238"/>
      <c r="C283" s="238"/>
      <c r="D283" s="238"/>
      <c r="E283" s="238"/>
      <c r="F283" s="238"/>
      <c r="G283" s="238"/>
      <c r="H283" s="238"/>
      <c r="I283" s="238"/>
      <c r="J283" s="238"/>
      <c r="K283" s="238" t="s">
        <v>501</v>
      </c>
      <c r="L283" s="238"/>
      <c r="M283" s="238"/>
    </row>
    <row r="284" spans="1:13" s="33" customFormat="1" ht="16.5" thickBot="1">
      <c r="A284" s="387"/>
      <c r="B284" s="387"/>
      <c r="C284" s="387"/>
      <c r="D284" s="387"/>
      <c r="E284" s="387"/>
      <c r="F284" s="387"/>
      <c r="G284" s="387"/>
      <c r="H284" s="387"/>
      <c r="I284" s="387"/>
      <c r="J284" s="387"/>
      <c r="K284" s="387"/>
      <c r="L284" s="387"/>
      <c r="M284" s="387"/>
    </row>
    <row r="285" spans="1:13" ht="12.75">
      <c r="A285" s="192"/>
      <c r="B285" s="193"/>
      <c r="C285" s="193"/>
      <c r="D285" s="193"/>
      <c r="E285" s="193"/>
      <c r="F285" s="194"/>
      <c r="G285" s="195"/>
      <c r="H285" s="196"/>
      <c r="I285" s="196" t="s">
        <v>3</v>
      </c>
      <c r="J285" s="394" t="s">
        <v>188</v>
      </c>
      <c r="K285" s="395"/>
      <c r="L285" s="396"/>
      <c r="M285" s="197" t="s">
        <v>4</v>
      </c>
    </row>
    <row r="286" spans="1:13" ht="12.75">
      <c r="A286" s="388"/>
      <c r="B286" s="389"/>
      <c r="C286" s="389"/>
      <c r="D286" s="389"/>
      <c r="E286" s="389"/>
      <c r="F286" s="390"/>
      <c r="G286" s="199"/>
      <c r="H286" s="200"/>
      <c r="I286" s="200">
        <v>2023</v>
      </c>
      <c r="J286" s="200" t="s">
        <v>137</v>
      </c>
      <c r="K286" s="200" t="s">
        <v>138</v>
      </c>
      <c r="L286" s="200">
        <v>2024</v>
      </c>
      <c r="M286" s="201">
        <v>2025</v>
      </c>
    </row>
    <row r="287" spans="1:13" ht="15.75" customHeight="1">
      <c r="A287" s="388" t="s">
        <v>8</v>
      </c>
      <c r="B287" s="389"/>
      <c r="C287" s="389"/>
      <c r="D287" s="389"/>
      <c r="E287" s="389"/>
      <c r="F287" s="390"/>
      <c r="G287" s="202"/>
      <c r="H287" s="203" t="s">
        <v>186</v>
      </c>
      <c r="I287" s="200" t="s">
        <v>311</v>
      </c>
      <c r="J287" s="200" t="s">
        <v>136</v>
      </c>
      <c r="K287" s="200" t="s">
        <v>139</v>
      </c>
      <c r="L287" s="200" t="s">
        <v>311</v>
      </c>
      <c r="M287" s="201" t="s">
        <v>311</v>
      </c>
    </row>
    <row r="288" spans="1:13" ht="15.75" customHeight="1">
      <c r="A288" s="204"/>
      <c r="B288" s="99"/>
      <c r="C288" s="99"/>
      <c r="D288" s="99"/>
      <c r="E288" s="99"/>
      <c r="F288" s="205"/>
      <c r="G288" s="202"/>
      <c r="H288" s="200"/>
      <c r="I288" s="200" t="s">
        <v>136</v>
      </c>
      <c r="J288" s="200">
        <v>2024</v>
      </c>
      <c r="K288" s="200">
        <v>2024</v>
      </c>
      <c r="L288" s="200" t="s">
        <v>312</v>
      </c>
      <c r="M288" s="201" t="s">
        <v>140</v>
      </c>
    </row>
    <row r="289" spans="1:13" ht="18" customHeight="1" thickBot="1">
      <c r="A289" s="391"/>
      <c r="B289" s="392"/>
      <c r="C289" s="392"/>
      <c r="D289" s="392"/>
      <c r="E289" s="392"/>
      <c r="F289" s="393"/>
      <c r="G289" s="206"/>
      <c r="H289" s="207"/>
      <c r="I289" s="207"/>
      <c r="J289" s="207"/>
      <c r="K289" s="207"/>
      <c r="L289" s="207"/>
      <c r="M289" s="208"/>
    </row>
    <row r="290" spans="1:13" ht="18" customHeight="1">
      <c r="A290" s="209"/>
      <c r="B290" s="210" t="s">
        <v>51</v>
      </c>
      <c r="C290" s="211"/>
      <c r="D290" s="210"/>
      <c r="E290" s="210"/>
      <c r="F290" s="212"/>
      <c r="G290" s="213"/>
      <c r="H290" s="225"/>
      <c r="I290" s="229"/>
      <c r="J290" s="62"/>
      <c r="K290" s="62"/>
      <c r="L290" s="62"/>
      <c r="M290" s="62"/>
    </row>
    <row r="291" spans="1:13" ht="18" customHeight="1">
      <c r="A291" s="133"/>
      <c r="B291" s="127"/>
      <c r="C291" s="127" t="s">
        <v>102</v>
      </c>
      <c r="D291" s="127"/>
      <c r="E291" s="127"/>
      <c r="F291" s="128"/>
      <c r="G291" s="129"/>
      <c r="H291" s="167"/>
      <c r="I291" s="171"/>
      <c r="J291" s="64"/>
      <c r="K291" s="64"/>
      <c r="L291" s="64"/>
      <c r="M291" s="64"/>
    </row>
    <row r="292" spans="1:13" s="97" customFormat="1" ht="18" customHeight="1">
      <c r="A292" s="133"/>
      <c r="B292" s="127"/>
      <c r="C292" s="127"/>
      <c r="D292" s="127" t="s">
        <v>103</v>
      </c>
      <c r="E292" s="127"/>
      <c r="F292" s="128"/>
      <c r="G292" s="129" t="s">
        <v>156</v>
      </c>
      <c r="H292" s="130" t="s">
        <v>196</v>
      </c>
      <c r="I292" s="135">
        <v>997022</v>
      </c>
      <c r="J292" s="39">
        <v>217790.5</v>
      </c>
      <c r="K292" s="39">
        <f>462855-J292</f>
        <v>245064.5</v>
      </c>
      <c r="L292" s="39">
        <f>SUM(K292+J292)</f>
        <v>462855</v>
      </c>
      <c r="M292" s="39">
        <v>1526312</v>
      </c>
    </row>
    <row r="293" spans="1:13" s="97" customFormat="1" ht="18" customHeight="1">
      <c r="A293" s="133"/>
      <c r="B293" s="127"/>
      <c r="C293" s="127" t="s">
        <v>104</v>
      </c>
      <c r="D293" s="127"/>
      <c r="E293" s="127"/>
      <c r="F293" s="128"/>
      <c r="G293" s="129"/>
      <c r="H293" s="137"/>
      <c r="I293" s="135"/>
      <c r="J293" s="39"/>
      <c r="K293" s="39"/>
      <c r="L293" s="39"/>
      <c r="M293" s="39"/>
    </row>
    <row r="294" spans="1:13" s="97" customFormat="1" ht="18" customHeight="1">
      <c r="A294" s="133"/>
      <c r="B294" s="127"/>
      <c r="C294" s="127"/>
      <c r="D294" s="127" t="s">
        <v>105</v>
      </c>
      <c r="E294" s="127"/>
      <c r="F294" s="128"/>
      <c r="G294" s="129" t="s">
        <v>157</v>
      </c>
      <c r="H294" s="130" t="s">
        <v>197</v>
      </c>
      <c r="I294" s="135">
        <v>62000</v>
      </c>
      <c r="J294" s="39">
        <v>24000</v>
      </c>
      <c r="K294" s="39">
        <f>72000-J294</f>
        <v>48000</v>
      </c>
      <c r="L294" s="39">
        <f t="shared" ref="L294:L313" si="17">SUM(K294+J294)</f>
        <v>72000</v>
      </c>
      <c r="M294" s="39">
        <v>72000</v>
      </c>
    </row>
    <row r="295" spans="1:13" s="97" customFormat="1" ht="18" customHeight="1">
      <c r="A295" s="133"/>
      <c r="B295" s="127"/>
      <c r="C295" s="127"/>
      <c r="D295" s="127" t="s">
        <v>107</v>
      </c>
      <c r="E295" s="127"/>
      <c r="F295" s="128"/>
      <c r="G295" s="129" t="s">
        <v>158</v>
      </c>
      <c r="H295" s="130" t="s">
        <v>198</v>
      </c>
      <c r="I295" s="135">
        <v>44625</v>
      </c>
      <c r="J295" s="39"/>
      <c r="K295" s="39">
        <f>10200-J295</f>
        <v>10200</v>
      </c>
      <c r="L295" s="39">
        <f t="shared" si="17"/>
        <v>10200</v>
      </c>
      <c r="M295" s="39">
        <v>86700</v>
      </c>
    </row>
    <row r="296" spans="1:13" s="97" customFormat="1" ht="18" customHeight="1">
      <c r="A296" s="133"/>
      <c r="B296" s="127"/>
      <c r="C296" s="127"/>
      <c r="D296" s="127" t="s">
        <v>106</v>
      </c>
      <c r="E296" s="127"/>
      <c r="F296" s="128"/>
      <c r="G296" s="129" t="s">
        <v>159</v>
      </c>
      <c r="H296" s="130" t="s">
        <v>199</v>
      </c>
      <c r="I296" s="135">
        <v>44625</v>
      </c>
      <c r="J296" s="39"/>
      <c r="K296" s="39">
        <f>10200-J296</f>
        <v>10200</v>
      </c>
      <c r="L296" s="39">
        <f t="shared" si="17"/>
        <v>10200</v>
      </c>
      <c r="M296" s="39">
        <v>86700</v>
      </c>
    </row>
    <row r="297" spans="1:13" s="97" customFormat="1" ht="18" customHeight="1">
      <c r="A297" s="133"/>
      <c r="B297" s="127"/>
      <c r="C297" s="127"/>
      <c r="D297" s="127" t="s">
        <v>108</v>
      </c>
      <c r="E297" s="127"/>
      <c r="F297" s="128"/>
      <c r="G297" s="129" t="s">
        <v>160</v>
      </c>
      <c r="H297" s="130" t="s">
        <v>200</v>
      </c>
      <c r="I297" s="135">
        <v>18000</v>
      </c>
      <c r="J297" s="39">
        <v>14000</v>
      </c>
      <c r="K297" s="39">
        <f>21000-J297</f>
        <v>7000</v>
      </c>
      <c r="L297" s="39">
        <f t="shared" si="17"/>
        <v>21000</v>
      </c>
      <c r="M297" s="39">
        <v>21000</v>
      </c>
    </row>
    <row r="298" spans="1:13" s="97" customFormat="1" ht="18" customHeight="1">
      <c r="A298" s="133"/>
      <c r="B298" s="127"/>
      <c r="C298" s="127"/>
      <c r="D298" s="127" t="s">
        <v>194</v>
      </c>
      <c r="E298" s="127"/>
      <c r="F298" s="128"/>
      <c r="G298" s="129" t="s">
        <v>162</v>
      </c>
      <c r="H298" s="130" t="s">
        <v>201</v>
      </c>
      <c r="I298" s="135">
        <v>10000</v>
      </c>
      <c r="J298" s="39"/>
      <c r="K298" s="39">
        <f>15000-J298</f>
        <v>15000</v>
      </c>
      <c r="L298" s="39">
        <f t="shared" si="17"/>
        <v>15000</v>
      </c>
      <c r="M298" s="39">
        <v>15000</v>
      </c>
    </row>
    <row r="299" spans="1:13" s="97" customFormat="1" ht="18" customHeight="1">
      <c r="A299" s="133"/>
      <c r="B299" s="127"/>
      <c r="C299" s="127"/>
      <c r="D299" s="127" t="s">
        <v>110</v>
      </c>
      <c r="E299" s="127"/>
      <c r="F299" s="128"/>
      <c r="G299" s="129" t="s">
        <v>92</v>
      </c>
      <c r="H299" s="130" t="s">
        <v>202</v>
      </c>
      <c r="I299" s="135"/>
      <c r="J299" s="39"/>
      <c r="K299" s="39">
        <f>0-J299</f>
        <v>0</v>
      </c>
      <c r="L299" s="39">
        <f t="shared" si="17"/>
        <v>0</v>
      </c>
      <c r="M299" s="39"/>
    </row>
    <row r="300" spans="1:13" s="97" customFormat="1" ht="18" customHeight="1">
      <c r="A300" s="133"/>
      <c r="B300" s="127"/>
      <c r="C300" s="127"/>
      <c r="D300" s="127" t="s">
        <v>354</v>
      </c>
      <c r="E300" s="127"/>
      <c r="F300" s="128"/>
      <c r="G300" s="129" t="s">
        <v>92</v>
      </c>
      <c r="H300" s="130" t="s">
        <v>202</v>
      </c>
      <c r="I300" s="135"/>
      <c r="J300" s="39"/>
      <c r="K300" s="39">
        <f>0-J300</f>
        <v>0</v>
      </c>
      <c r="L300" s="39">
        <f t="shared" si="17"/>
        <v>0</v>
      </c>
      <c r="M300" s="39"/>
    </row>
    <row r="301" spans="1:13" s="97" customFormat="1" ht="18" customHeight="1">
      <c r="A301" s="133"/>
      <c r="B301" s="127"/>
      <c r="C301" s="127"/>
      <c r="D301" s="127" t="s">
        <v>421</v>
      </c>
      <c r="E301" s="127"/>
      <c r="F301" s="128"/>
      <c r="G301" s="129"/>
      <c r="H301" s="130" t="s">
        <v>202</v>
      </c>
      <c r="I301" s="135"/>
      <c r="J301" s="39"/>
      <c r="K301" s="39">
        <f>0-J301</f>
        <v>0</v>
      </c>
      <c r="L301" s="39">
        <f t="shared" si="17"/>
        <v>0</v>
      </c>
      <c r="M301" s="39">
        <v>21000</v>
      </c>
    </row>
    <row r="302" spans="1:13" s="97" customFormat="1" ht="18" customHeight="1">
      <c r="A302" s="133"/>
      <c r="B302" s="127"/>
      <c r="C302" s="127"/>
      <c r="D302" s="127" t="s">
        <v>112</v>
      </c>
      <c r="E302" s="127"/>
      <c r="F302" s="128"/>
      <c r="G302" s="129" t="s">
        <v>165</v>
      </c>
      <c r="H302" s="130" t="s">
        <v>203</v>
      </c>
      <c r="I302" s="135">
        <v>14000</v>
      </c>
      <c r="J302" s="39"/>
      <c r="K302" s="39">
        <f>15000-J302</f>
        <v>15000</v>
      </c>
      <c r="L302" s="39">
        <f t="shared" si="17"/>
        <v>15000</v>
      </c>
      <c r="M302" s="39">
        <v>15000</v>
      </c>
    </row>
    <row r="303" spans="1:13" s="97" customFormat="1" ht="18" customHeight="1">
      <c r="A303" s="133"/>
      <c r="B303" s="127"/>
      <c r="C303" s="127"/>
      <c r="D303" s="127" t="s">
        <v>252</v>
      </c>
      <c r="E303" s="127"/>
      <c r="F303" s="127"/>
      <c r="G303" s="138" t="s">
        <v>92</v>
      </c>
      <c r="H303" s="130" t="s">
        <v>202</v>
      </c>
      <c r="I303" s="135">
        <v>116576</v>
      </c>
      <c r="J303" s="39">
        <v>36439</v>
      </c>
      <c r="K303" s="39">
        <f>36439-J303</f>
        <v>0</v>
      </c>
      <c r="L303" s="39">
        <f t="shared" si="17"/>
        <v>36439</v>
      </c>
      <c r="M303" s="39">
        <v>125336</v>
      </c>
    </row>
    <row r="304" spans="1:13" s="97" customFormat="1" ht="18" customHeight="1">
      <c r="A304" s="133"/>
      <c r="B304" s="127"/>
      <c r="C304" s="127"/>
      <c r="D304" s="127" t="s">
        <v>466</v>
      </c>
      <c r="E304" s="127"/>
      <c r="F304" s="127"/>
      <c r="G304" s="129"/>
      <c r="H304" s="130" t="s">
        <v>202</v>
      </c>
      <c r="I304" s="135">
        <v>57954.54</v>
      </c>
      <c r="J304" s="39"/>
      <c r="K304" s="39">
        <f>153000-J304</f>
        <v>153000</v>
      </c>
      <c r="L304" s="39">
        <f t="shared" si="17"/>
        <v>153000</v>
      </c>
      <c r="M304" s="39">
        <v>173400</v>
      </c>
    </row>
    <row r="305" spans="1:13" s="97" customFormat="1" ht="18" customHeight="1">
      <c r="A305" s="133"/>
      <c r="B305" s="127"/>
      <c r="C305" s="127"/>
      <c r="D305" s="127" t="s">
        <v>113</v>
      </c>
      <c r="E305" s="127"/>
      <c r="F305" s="128"/>
      <c r="G305" s="129" t="s">
        <v>166</v>
      </c>
      <c r="H305" s="130" t="s">
        <v>204</v>
      </c>
      <c r="I305" s="135">
        <v>100500.4</v>
      </c>
      <c r="J305" s="39"/>
      <c r="K305" s="39">
        <f>41701-J305</f>
        <v>41701</v>
      </c>
      <c r="L305" s="39">
        <f t="shared" si="17"/>
        <v>41701</v>
      </c>
      <c r="M305" s="39">
        <v>130906</v>
      </c>
    </row>
    <row r="306" spans="1:13" s="97" customFormat="1" ht="18" customHeight="1">
      <c r="A306" s="133"/>
      <c r="B306" s="127"/>
      <c r="C306" s="127"/>
      <c r="D306" s="127" t="s">
        <v>190</v>
      </c>
      <c r="E306" s="127"/>
      <c r="F306" s="128"/>
      <c r="G306" s="129" t="s">
        <v>167</v>
      </c>
      <c r="H306" s="130" t="s">
        <v>205</v>
      </c>
      <c r="I306" s="135">
        <f>117547.44+2095.2</f>
        <v>119642.64</v>
      </c>
      <c r="J306" s="39">
        <v>21762.18</v>
      </c>
      <c r="K306" s="39">
        <f>172200-J306</f>
        <v>150437.82</v>
      </c>
      <c r="L306" s="39">
        <f t="shared" si="17"/>
        <v>172200</v>
      </c>
      <c r="M306" s="39">
        <v>183500</v>
      </c>
    </row>
    <row r="307" spans="1:13" s="97" customFormat="1" ht="18" customHeight="1">
      <c r="A307" s="133"/>
      <c r="B307" s="127"/>
      <c r="C307" s="127"/>
      <c r="D307" s="127" t="s">
        <v>114</v>
      </c>
      <c r="E307" s="127"/>
      <c r="F307" s="128"/>
      <c r="G307" s="129" t="s">
        <v>168</v>
      </c>
      <c r="H307" s="130" t="s">
        <v>206</v>
      </c>
      <c r="I307" s="135">
        <f>2900+500</f>
        <v>3400</v>
      </c>
      <c r="J307" s="39">
        <v>2200</v>
      </c>
      <c r="K307" s="39">
        <f>7200-J307</f>
        <v>5000</v>
      </c>
      <c r="L307" s="39">
        <f t="shared" si="17"/>
        <v>7200</v>
      </c>
      <c r="M307" s="39">
        <v>7200</v>
      </c>
    </row>
    <row r="308" spans="1:13" s="97" customFormat="1" ht="18" customHeight="1">
      <c r="A308" s="133"/>
      <c r="B308" s="127"/>
      <c r="C308" s="127"/>
      <c r="D308" s="127" t="s">
        <v>115</v>
      </c>
      <c r="E308" s="127"/>
      <c r="F308" s="128"/>
      <c r="G308" s="129" t="s">
        <v>169</v>
      </c>
      <c r="H308" s="130" t="s">
        <v>207</v>
      </c>
      <c r="I308" s="135">
        <v>19600</v>
      </c>
      <c r="J308" s="39">
        <v>4536.79</v>
      </c>
      <c r="K308" s="39">
        <f>36100-J308</f>
        <v>31563.21</v>
      </c>
      <c r="L308" s="39">
        <f t="shared" si="17"/>
        <v>36100</v>
      </c>
      <c r="M308" s="39">
        <v>38500</v>
      </c>
    </row>
    <row r="309" spans="1:13" s="97" customFormat="1" ht="18" customHeight="1">
      <c r="A309" s="133"/>
      <c r="B309" s="127"/>
      <c r="C309" s="127"/>
      <c r="D309" s="127" t="s">
        <v>189</v>
      </c>
      <c r="E309" s="127"/>
      <c r="F309" s="128"/>
      <c r="G309" s="129" t="s">
        <v>170</v>
      </c>
      <c r="H309" s="130" t="s">
        <v>208</v>
      </c>
      <c r="I309" s="135">
        <v>3100</v>
      </c>
      <c r="J309" s="39">
        <v>1000</v>
      </c>
      <c r="K309" s="39">
        <f>3600-J309</f>
        <v>2600</v>
      </c>
      <c r="L309" s="39">
        <f t="shared" si="17"/>
        <v>3600</v>
      </c>
      <c r="M309" s="39">
        <v>3600</v>
      </c>
    </row>
    <row r="310" spans="1:13" s="97" customFormat="1" ht="18" customHeight="1">
      <c r="A310" s="133"/>
      <c r="B310" s="127"/>
      <c r="C310" s="127"/>
      <c r="D310" s="127" t="s">
        <v>117</v>
      </c>
      <c r="E310" s="127"/>
      <c r="F310" s="128"/>
      <c r="G310" s="129" t="s">
        <v>67</v>
      </c>
      <c r="H310" s="130" t="s">
        <v>220</v>
      </c>
      <c r="I310" s="135"/>
      <c r="J310" s="39">
        <v>46171.11</v>
      </c>
      <c r="K310" s="39">
        <f>46171.11-J310</f>
        <v>0</v>
      </c>
      <c r="L310" s="39">
        <f>SUM(K310+J310)</f>
        <v>46171.11</v>
      </c>
      <c r="M310" s="39">
        <v>0</v>
      </c>
    </row>
    <row r="311" spans="1:13" s="97" customFormat="1" ht="18" customHeight="1">
      <c r="A311" s="133"/>
      <c r="B311" s="127"/>
      <c r="C311" s="127"/>
      <c r="D311" s="127" t="s">
        <v>54</v>
      </c>
      <c r="E311" s="127"/>
      <c r="F311" s="128"/>
      <c r="G311" s="129" t="s">
        <v>171</v>
      </c>
      <c r="H311" s="130" t="s">
        <v>209</v>
      </c>
      <c r="I311" s="135"/>
      <c r="J311" s="39">
        <v>0</v>
      </c>
      <c r="K311" s="39">
        <f>452871.54-J311</f>
        <v>452871.54</v>
      </c>
      <c r="L311" s="39">
        <f t="shared" si="17"/>
        <v>452871.54</v>
      </c>
      <c r="M311" s="39">
        <v>0</v>
      </c>
    </row>
    <row r="312" spans="1:13" s="45" customFormat="1" ht="18" customHeight="1">
      <c r="A312" s="133"/>
      <c r="B312" s="127"/>
      <c r="C312" s="127"/>
      <c r="D312" s="127" t="s">
        <v>343</v>
      </c>
      <c r="E312" s="127"/>
      <c r="F312" s="128"/>
      <c r="G312" s="129"/>
      <c r="H312" s="130" t="s">
        <v>220</v>
      </c>
      <c r="I312" s="135">
        <v>40000</v>
      </c>
      <c r="J312" s="39"/>
      <c r="K312" s="39">
        <f>40000-J312</f>
        <v>40000</v>
      </c>
      <c r="L312" s="39">
        <f t="shared" si="17"/>
        <v>40000</v>
      </c>
      <c r="M312" s="39">
        <v>0</v>
      </c>
    </row>
    <row r="313" spans="1:13" ht="18" customHeight="1">
      <c r="A313" s="133"/>
      <c r="B313" s="127"/>
      <c r="C313" s="127"/>
      <c r="D313" s="191" t="s">
        <v>423</v>
      </c>
      <c r="E313" s="127"/>
      <c r="F313" s="128"/>
      <c r="G313" s="129"/>
      <c r="H313" s="130" t="s">
        <v>220</v>
      </c>
      <c r="I313" s="135">
        <v>90000</v>
      </c>
      <c r="J313" s="39"/>
      <c r="K313" s="39">
        <f>60000-J313</f>
        <v>60000</v>
      </c>
      <c r="L313" s="39">
        <f t="shared" si="17"/>
        <v>60000</v>
      </c>
      <c r="M313" s="39"/>
    </row>
    <row r="314" spans="1:13" ht="18" customHeight="1">
      <c r="A314" s="139"/>
      <c r="B314" s="140"/>
      <c r="C314" s="140"/>
      <c r="D314" s="140" t="s">
        <v>53</v>
      </c>
      <c r="E314" s="140"/>
      <c r="F314" s="141"/>
      <c r="G314" s="142"/>
      <c r="H314" s="134"/>
      <c r="I314" s="143">
        <f>SUM(I292:I313)</f>
        <v>1741045.5799999998</v>
      </c>
      <c r="J314" s="143">
        <f t="shared" ref="J314:M314" si="18">SUM(J292:J313)</f>
        <v>367899.57999999996</v>
      </c>
      <c r="K314" s="143">
        <f t="shared" si="18"/>
        <v>1287638.07</v>
      </c>
      <c r="L314" s="143">
        <f t="shared" si="18"/>
        <v>1655537.6500000001</v>
      </c>
      <c r="M314" s="143">
        <f t="shared" si="18"/>
        <v>2506154</v>
      </c>
    </row>
    <row r="315" spans="1:13" ht="18" customHeight="1">
      <c r="A315" s="133"/>
      <c r="B315" s="127" t="s">
        <v>118</v>
      </c>
      <c r="C315" s="127"/>
      <c r="D315" s="127"/>
      <c r="E315" s="127"/>
      <c r="F315" s="128"/>
      <c r="G315" s="129"/>
      <c r="H315" s="137"/>
      <c r="I315" s="135"/>
      <c r="J315" s="39"/>
      <c r="K315" s="39"/>
      <c r="L315" s="39"/>
      <c r="M315" s="39"/>
    </row>
    <row r="316" spans="1:13" ht="18" customHeight="1">
      <c r="A316" s="133"/>
      <c r="B316" s="127"/>
      <c r="C316" s="127"/>
      <c r="D316" s="127" t="s">
        <v>119</v>
      </c>
      <c r="E316" s="127"/>
      <c r="F316" s="128"/>
      <c r="G316" s="129" t="s">
        <v>60</v>
      </c>
      <c r="H316" s="130" t="s">
        <v>210</v>
      </c>
      <c r="I316" s="135">
        <v>45140</v>
      </c>
      <c r="J316" s="39">
        <v>750</v>
      </c>
      <c r="K316" s="39">
        <f>29516.07-J316</f>
        <v>28766.07</v>
      </c>
      <c r="L316" s="39">
        <f t="shared" ref="L316:L322" si="19">SUM(K316+J316)</f>
        <v>29516.07</v>
      </c>
      <c r="M316" s="39">
        <v>100000</v>
      </c>
    </row>
    <row r="317" spans="1:13" ht="18" customHeight="1">
      <c r="A317" s="133"/>
      <c r="B317" s="127"/>
      <c r="C317" s="127"/>
      <c r="D317" s="127" t="s">
        <v>91</v>
      </c>
      <c r="E317" s="127"/>
      <c r="F317" s="128"/>
      <c r="G317" s="129" t="s">
        <v>61</v>
      </c>
      <c r="H317" s="130" t="s">
        <v>211</v>
      </c>
      <c r="I317" s="135">
        <v>99230.23</v>
      </c>
      <c r="J317" s="39"/>
      <c r="K317" s="39">
        <f>100000-J317</f>
        <v>100000</v>
      </c>
      <c r="L317" s="39">
        <f t="shared" si="19"/>
        <v>100000</v>
      </c>
      <c r="M317" s="39">
        <v>100000</v>
      </c>
    </row>
    <row r="318" spans="1:13" ht="18" customHeight="1">
      <c r="A318" s="133"/>
      <c r="B318" s="127"/>
      <c r="C318" s="127"/>
      <c r="D318" s="127" t="s">
        <v>58</v>
      </c>
      <c r="E318" s="127"/>
      <c r="F318" s="128"/>
      <c r="G318" s="129" t="s">
        <v>63</v>
      </c>
      <c r="H318" s="130" t="s">
        <v>212</v>
      </c>
      <c r="I318" s="135">
        <v>166158</v>
      </c>
      <c r="J318" s="39">
        <v>625.38</v>
      </c>
      <c r="K318" s="39">
        <f>240585.64-J318</f>
        <v>239960.26</v>
      </c>
      <c r="L318" s="39">
        <f t="shared" si="19"/>
        <v>240585.64</v>
      </c>
      <c r="M318" s="39">
        <v>285821</v>
      </c>
    </row>
    <row r="319" spans="1:13" ht="18" customHeight="1">
      <c r="A319" s="133"/>
      <c r="B319" s="127"/>
      <c r="C319" s="127"/>
      <c r="D319" s="127" t="s">
        <v>125</v>
      </c>
      <c r="E319" s="127"/>
      <c r="F319" s="128"/>
      <c r="G319" s="129" t="s">
        <v>64</v>
      </c>
      <c r="H319" s="130" t="s">
        <v>214</v>
      </c>
      <c r="I319" s="135">
        <v>31636.36</v>
      </c>
      <c r="J319" s="39"/>
      <c r="K319" s="39">
        <f>0-J319</f>
        <v>0</v>
      </c>
      <c r="L319" s="39">
        <f t="shared" si="19"/>
        <v>0</v>
      </c>
      <c r="M319" s="39">
        <v>24000</v>
      </c>
    </row>
    <row r="320" spans="1:13" ht="18" customHeight="1">
      <c r="A320" s="133"/>
      <c r="B320" s="127"/>
      <c r="C320" s="127"/>
      <c r="D320" s="127" t="s">
        <v>304</v>
      </c>
      <c r="E320" s="127"/>
      <c r="F320" s="128"/>
      <c r="G320" s="129" t="s">
        <v>65</v>
      </c>
      <c r="H320" s="130" t="s">
        <v>215</v>
      </c>
      <c r="I320" s="135">
        <v>0</v>
      </c>
      <c r="J320" s="39"/>
      <c r="K320" s="39">
        <f>36000-J320</f>
        <v>36000</v>
      </c>
      <c r="L320" s="39">
        <f t="shared" si="19"/>
        <v>36000</v>
      </c>
      <c r="M320" s="39">
        <v>50000</v>
      </c>
    </row>
    <row r="321" spans="1:13" s="45" customFormat="1" ht="18" customHeight="1">
      <c r="A321" s="133"/>
      <c r="B321" s="127"/>
      <c r="C321" s="127"/>
      <c r="D321" s="127" t="s">
        <v>131</v>
      </c>
      <c r="E321" s="127"/>
      <c r="F321" s="128"/>
      <c r="G321" s="129" t="s">
        <v>66</v>
      </c>
      <c r="H321" s="130" t="s">
        <v>216</v>
      </c>
      <c r="I321" s="135">
        <v>5000</v>
      </c>
      <c r="J321" s="39"/>
      <c r="K321" s="39">
        <f>40000-J321</f>
        <v>40000</v>
      </c>
      <c r="L321" s="39">
        <f t="shared" si="19"/>
        <v>40000</v>
      </c>
      <c r="M321" s="39">
        <v>40000</v>
      </c>
    </row>
    <row r="322" spans="1:13" ht="18" customHeight="1">
      <c r="A322" s="133"/>
      <c r="B322" s="127"/>
      <c r="C322" s="127"/>
      <c r="D322" s="127" t="s">
        <v>366</v>
      </c>
      <c r="E322" s="127"/>
      <c r="F322" s="128"/>
      <c r="G322" s="129"/>
      <c r="H322" s="130" t="s">
        <v>216</v>
      </c>
      <c r="I322" s="135"/>
      <c r="J322" s="39">
        <v>0</v>
      </c>
      <c r="K322" s="39">
        <f>0-J322</f>
        <v>0</v>
      </c>
      <c r="L322" s="39">
        <f t="shared" si="19"/>
        <v>0</v>
      </c>
      <c r="M322" s="39"/>
    </row>
    <row r="323" spans="1:13" s="97" customFormat="1" ht="18" customHeight="1">
      <c r="A323" s="139"/>
      <c r="B323" s="140"/>
      <c r="C323" s="140"/>
      <c r="D323" s="140" t="s">
        <v>244</v>
      </c>
      <c r="E323" s="140"/>
      <c r="F323" s="141"/>
      <c r="G323" s="142"/>
      <c r="H323" s="134"/>
      <c r="I323" s="143">
        <f>SUM(I316:I322)</f>
        <v>347164.58999999997</v>
      </c>
      <c r="J323" s="143">
        <f>SUM(J316:J322)</f>
        <v>1375.38</v>
      </c>
      <c r="K323" s="143">
        <f>SUM(K316:K322)</f>
        <v>444726.33</v>
      </c>
      <c r="L323" s="143">
        <f>SUM(L316:L322)</f>
        <v>446101.71</v>
      </c>
      <c r="M323" s="143">
        <f>SUM(M316:M322)</f>
        <v>599821</v>
      </c>
    </row>
    <row r="324" spans="1:13" ht="18" customHeight="1">
      <c r="A324" s="133"/>
      <c r="B324" s="127" t="s">
        <v>132</v>
      </c>
      <c r="C324" s="127"/>
      <c r="D324" s="127"/>
      <c r="E324" s="127"/>
      <c r="F324" s="128"/>
      <c r="G324" s="129"/>
      <c r="H324" s="137"/>
      <c r="I324" s="135"/>
      <c r="J324" s="39"/>
      <c r="K324" s="39"/>
      <c r="L324" s="39"/>
      <c r="M324" s="39"/>
    </row>
    <row r="325" spans="1:13" ht="18" customHeight="1">
      <c r="A325" s="133"/>
      <c r="B325" s="127"/>
      <c r="C325" s="127"/>
      <c r="D325" s="127" t="s">
        <v>195</v>
      </c>
      <c r="E325" s="127"/>
      <c r="F325" s="128"/>
      <c r="G325" s="129" t="s">
        <v>285</v>
      </c>
      <c r="H325" s="130" t="s">
        <v>286</v>
      </c>
      <c r="I325" s="135">
        <v>0</v>
      </c>
      <c r="J325" s="39">
        <v>0</v>
      </c>
      <c r="K325" s="39">
        <f>0-J325</f>
        <v>0</v>
      </c>
      <c r="L325" s="39">
        <f>SUM(K325+J325)</f>
        <v>0</v>
      </c>
      <c r="M325" s="39">
        <v>0</v>
      </c>
    </row>
    <row r="326" spans="1:13" s="45" customFormat="1" ht="18" customHeight="1">
      <c r="A326" s="133"/>
      <c r="B326" s="127"/>
      <c r="C326" s="127"/>
      <c r="D326" s="127" t="s">
        <v>329</v>
      </c>
      <c r="E326" s="127"/>
      <c r="F326" s="128"/>
      <c r="G326" s="129" t="s">
        <v>287</v>
      </c>
      <c r="H326" s="130" t="s">
        <v>348</v>
      </c>
      <c r="I326" s="135">
        <v>0</v>
      </c>
      <c r="J326" s="39">
        <v>0</v>
      </c>
      <c r="K326" s="39">
        <f>0-J326</f>
        <v>0</v>
      </c>
      <c r="L326" s="39">
        <f>SUM(K326+J326)</f>
        <v>0</v>
      </c>
      <c r="M326" s="39">
        <v>0</v>
      </c>
    </row>
    <row r="327" spans="1:13" s="45" customFormat="1" ht="18" customHeight="1">
      <c r="A327" s="133"/>
      <c r="B327" s="127"/>
      <c r="C327" s="127"/>
      <c r="D327" s="127" t="s">
        <v>292</v>
      </c>
      <c r="E327" s="127"/>
      <c r="F327" s="128"/>
      <c r="G327" s="129" t="s">
        <v>303</v>
      </c>
      <c r="H327" s="130" t="s">
        <v>293</v>
      </c>
      <c r="I327" s="135">
        <v>0</v>
      </c>
      <c r="J327" s="39">
        <v>0</v>
      </c>
      <c r="K327" s="39">
        <f>0-J327</f>
        <v>0</v>
      </c>
      <c r="L327" s="39">
        <f>SUM(K327+J327)</f>
        <v>0</v>
      </c>
      <c r="M327" s="39">
        <v>0</v>
      </c>
    </row>
    <row r="328" spans="1:13" s="45" customFormat="1" ht="18" customHeight="1">
      <c r="A328" s="139"/>
      <c r="B328" s="140"/>
      <c r="C328" s="140"/>
      <c r="D328" s="140" t="s">
        <v>245</v>
      </c>
      <c r="E328" s="140"/>
      <c r="F328" s="141"/>
      <c r="G328" s="142"/>
      <c r="H328" s="134"/>
      <c r="I328" s="143">
        <f>SUM(I325:I327)</f>
        <v>0</v>
      </c>
      <c r="J328" s="46">
        <f>SUM(J325:J327)</f>
        <v>0</v>
      </c>
      <c r="K328" s="46">
        <f>SUM(K325:K327)</f>
        <v>0</v>
      </c>
      <c r="L328" s="46">
        <f>SUM(L325:L327)</f>
        <v>0</v>
      </c>
      <c r="M328" s="46">
        <f>SUM(M325:M327)</f>
        <v>0</v>
      </c>
    </row>
    <row r="329" spans="1:13" ht="18" customHeight="1">
      <c r="A329" s="146" t="s">
        <v>187</v>
      </c>
      <c r="B329" s="148"/>
      <c r="C329" s="148"/>
      <c r="D329" s="148"/>
      <c r="E329" s="148"/>
      <c r="F329" s="149"/>
      <c r="G329" s="166"/>
      <c r="H329" s="170"/>
      <c r="I329" s="152">
        <f>SUM(I328+I323+I314)</f>
        <v>2088210.17</v>
      </c>
      <c r="J329" s="152">
        <f t="shared" ref="J329:M329" si="20">SUM(J328+J323+J314)</f>
        <v>369274.95999999996</v>
      </c>
      <c r="K329" s="152">
        <f t="shared" si="20"/>
        <v>1732364.4000000001</v>
      </c>
      <c r="L329" s="152">
        <f t="shared" si="20"/>
        <v>2101639.3600000003</v>
      </c>
      <c r="M329" s="152">
        <f t="shared" si="20"/>
        <v>3105975</v>
      </c>
    </row>
    <row r="330" spans="1:13" ht="18" customHeight="1">
      <c r="A330" s="35"/>
      <c r="B330" s="53"/>
      <c r="C330" s="35"/>
      <c r="D330" s="35"/>
      <c r="E330" s="35"/>
      <c r="F330" s="35"/>
      <c r="G330" s="35"/>
      <c r="H330" s="54"/>
      <c r="I330" s="54"/>
      <c r="J330" s="55"/>
      <c r="K330" s="55"/>
      <c r="L330" s="55"/>
      <c r="M330" s="55"/>
    </row>
    <row r="331" spans="1:13" ht="18" customHeight="1">
      <c r="A331" s="241" t="s">
        <v>490</v>
      </c>
      <c r="B331" s="241"/>
      <c r="C331" s="241"/>
      <c r="D331" s="241"/>
      <c r="E331" s="241"/>
      <c r="F331" s="241"/>
      <c r="G331" s="241"/>
      <c r="H331" s="241"/>
      <c r="I331" s="241"/>
      <c r="J331" s="241"/>
      <c r="K331" s="241"/>
      <c r="L331" s="241"/>
      <c r="M331" s="241"/>
    </row>
    <row r="332" spans="1:13" s="97" customFormat="1" ht="18" customHeight="1">
      <c r="A332" s="93"/>
      <c r="B332" s="94"/>
      <c r="C332" s="93"/>
      <c r="D332" s="93"/>
      <c r="E332" s="93"/>
      <c r="F332" s="95"/>
      <c r="G332" s="93"/>
      <c r="H332" s="96"/>
      <c r="I332" s="96"/>
      <c r="J332" s="92"/>
      <c r="K332" s="61"/>
      <c r="L332" s="61"/>
      <c r="M332" s="55"/>
    </row>
    <row r="333" spans="1:13" s="97" customFormat="1" ht="18" customHeight="1">
      <c r="A333" s="242" t="s">
        <v>491</v>
      </c>
      <c r="B333" s="242"/>
      <c r="C333" s="92"/>
      <c r="D333" s="242"/>
      <c r="E333" s="242"/>
      <c r="F333" s="92"/>
      <c r="G333" s="242"/>
      <c r="H333" s="242"/>
      <c r="I333" s="242" t="s">
        <v>492</v>
      </c>
      <c r="J333" s="242"/>
      <c r="K333" s="242"/>
      <c r="L333" s="242" t="s">
        <v>493</v>
      </c>
      <c r="M333" s="242"/>
    </row>
    <row r="334" spans="1:13" s="97" customFormat="1" ht="18" customHeight="1">
      <c r="A334" s="93"/>
      <c r="B334" s="94"/>
      <c r="C334" s="92"/>
      <c r="D334" s="93"/>
      <c r="E334" s="93"/>
      <c r="F334" s="92"/>
      <c r="G334" s="93"/>
      <c r="H334" s="92"/>
      <c r="I334" s="93"/>
      <c r="J334" s="96"/>
      <c r="K334" s="60"/>
      <c r="L334" s="95"/>
      <c r="M334" s="61"/>
    </row>
    <row r="335" spans="1:13" s="97" customFormat="1" ht="18" customHeight="1">
      <c r="A335" s="404" t="s">
        <v>502</v>
      </c>
      <c r="B335" s="404"/>
      <c r="C335" s="404"/>
      <c r="D335" s="404"/>
      <c r="E335" s="404"/>
      <c r="F335" s="404"/>
      <c r="G335" s="94"/>
      <c r="H335" s="243"/>
      <c r="I335" s="404" t="s">
        <v>494</v>
      </c>
      <c r="J335" s="404"/>
      <c r="K335" s="58"/>
      <c r="L335" s="404" t="s">
        <v>328</v>
      </c>
      <c r="M335" s="404"/>
    </row>
    <row r="336" spans="1:13" s="97" customFormat="1" ht="18" customHeight="1">
      <c r="A336" s="406" t="s">
        <v>503</v>
      </c>
      <c r="B336" s="406"/>
      <c r="C336" s="406"/>
      <c r="D336" s="406"/>
      <c r="E336" s="406"/>
      <c r="F336" s="406"/>
      <c r="G336" s="15"/>
      <c r="H336" s="15"/>
      <c r="I336" s="406" t="s">
        <v>496</v>
      </c>
      <c r="J336" s="406"/>
      <c r="K336" s="15"/>
      <c r="L336" s="405" t="s">
        <v>497</v>
      </c>
      <c r="M336" s="405"/>
    </row>
    <row r="337" spans="1:13" s="97" customFormat="1" ht="18" customHeight="1">
      <c r="A337" s="98"/>
      <c r="B337" s="98"/>
      <c r="C337" s="98"/>
      <c r="D337" s="98"/>
      <c r="E337" s="98"/>
      <c r="F337" s="98"/>
      <c r="G337" s="98"/>
      <c r="H337" s="98"/>
      <c r="I337" s="98"/>
      <c r="J337" s="98"/>
      <c r="K337" s="98"/>
      <c r="L337" s="98"/>
      <c r="M337" s="98"/>
    </row>
    <row r="338" spans="1:13" s="97" customFormat="1" ht="18" customHeight="1">
      <c r="A338" s="98"/>
      <c r="B338" s="98"/>
      <c r="C338" s="98"/>
      <c r="D338" s="98"/>
      <c r="E338" s="98"/>
      <c r="F338" s="98"/>
      <c r="G338" s="98"/>
      <c r="H338" s="98"/>
      <c r="I338" s="98"/>
      <c r="J338" s="98"/>
      <c r="K338" s="98"/>
      <c r="L338" s="98"/>
      <c r="M338" s="98"/>
    </row>
    <row r="339" spans="1:13" s="81" customFormat="1" ht="15" customHeight="1">
      <c r="A339" s="399" t="s">
        <v>481</v>
      </c>
      <c r="B339" s="399"/>
      <c r="C339" s="399"/>
      <c r="D339" s="399"/>
      <c r="E339" s="399"/>
      <c r="F339" s="399"/>
      <c r="G339" s="399"/>
      <c r="H339" s="399"/>
      <c r="I339" s="399"/>
      <c r="J339" s="399"/>
      <c r="K339" s="399"/>
      <c r="L339" s="399"/>
      <c r="M339" s="399"/>
    </row>
    <row r="340" spans="1:13" s="81" customFormat="1" ht="15" customHeight="1">
      <c r="A340" s="15"/>
      <c r="B340" s="15"/>
      <c r="C340" s="15"/>
      <c r="D340" s="15"/>
      <c r="E340" s="15"/>
      <c r="F340" s="15"/>
      <c r="G340" s="15"/>
      <c r="H340" s="15"/>
      <c r="I340" s="15"/>
      <c r="J340" s="15"/>
      <c r="K340" s="15"/>
      <c r="L340" s="15"/>
      <c r="M340" s="15"/>
    </row>
    <row r="341" spans="1:13" s="81" customFormat="1" ht="15" customHeight="1">
      <c r="A341" s="238" t="s">
        <v>482</v>
      </c>
      <c r="B341" s="238"/>
      <c r="C341" s="238"/>
      <c r="D341" s="239"/>
      <c r="E341" s="239"/>
      <c r="F341" s="238" t="s">
        <v>483</v>
      </c>
      <c r="G341" s="238"/>
      <c r="H341" s="238"/>
      <c r="I341" s="238"/>
      <c r="J341" s="238" t="s">
        <v>484</v>
      </c>
      <c r="K341" s="238" t="str">
        <f>$K$9</f>
        <v>2025</v>
      </c>
      <c r="L341" s="238"/>
      <c r="M341" s="238"/>
    </row>
    <row r="342" spans="1:13" s="81" customFormat="1" ht="15" customHeight="1">
      <c r="A342" s="238" t="s">
        <v>485</v>
      </c>
      <c r="B342" s="238"/>
      <c r="C342" s="238"/>
      <c r="D342" s="239"/>
      <c r="E342" s="238"/>
      <c r="F342" s="238" t="s">
        <v>486</v>
      </c>
      <c r="G342" s="238"/>
      <c r="H342" s="238"/>
      <c r="I342" s="238"/>
      <c r="J342" s="238" t="s">
        <v>487</v>
      </c>
      <c r="K342" s="94" t="s">
        <v>504</v>
      </c>
      <c r="L342" s="238"/>
      <c r="M342" s="238"/>
    </row>
    <row r="343" spans="1:13" s="81" customFormat="1" ht="15" customHeight="1">
      <c r="A343" s="238" t="s">
        <v>489</v>
      </c>
      <c r="B343" s="238"/>
      <c r="C343" s="238"/>
      <c r="D343" s="238"/>
      <c r="E343" s="238"/>
      <c r="F343" s="238"/>
      <c r="G343" s="238"/>
      <c r="H343" s="238"/>
      <c r="I343" s="238"/>
      <c r="J343" s="238"/>
      <c r="K343" s="238"/>
      <c r="L343" s="238"/>
      <c r="M343" s="238"/>
    </row>
    <row r="344" spans="1:13" s="81" customFormat="1" ht="15" customHeight="1">
      <c r="A344" s="82"/>
      <c r="B344" s="82"/>
      <c r="C344" s="82"/>
      <c r="D344" s="82"/>
      <c r="E344" s="82"/>
      <c r="F344" s="82"/>
      <c r="G344" s="82"/>
      <c r="H344" s="82"/>
      <c r="I344" s="82"/>
      <c r="J344" s="82"/>
      <c r="K344" s="82"/>
      <c r="L344" s="82"/>
      <c r="M344" s="82"/>
    </row>
    <row r="345" spans="1:13" s="33" customFormat="1" ht="18" customHeight="1" thickBot="1">
      <c r="A345" s="400"/>
      <c r="B345" s="400"/>
      <c r="C345" s="400"/>
      <c r="D345" s="400"/>
      <c r="E345" s="400"/>
      <c r="F345" s="400"/>
      <c r="G345" s="400"/>
      <c r="H345" s="400"/>
      <c r="I345" s="400"/>
      <c r="J345" s="400"/>
      <c r="K345" s="400"/>
      <c r="L345" s="400"/>
      <c r="M345" s="400"/>
    </row>
    <row r="346" spans="1:13" ht="18" customHeight="1">
      <c r="A346" s="192"/>
      <c r="B346" s="193"/>
      <c r="C346" s="193"/>
      <c r="D346" s="193"/>
      <c r="E346" s="193"/>
      <c r="F346" s="194"/>
      <c r="G346" s="195"/>
      <c r="H346" s="196"/>
      <c r="I346" s="196" t="s">
        <v>3</v>
      </c>
      <c r="J346" s="394" t="s">
        <v>188</v>
      </c>
      <c r="K346" s="395"/>
      <c r="L346" s="396"/>
      <c r="M346" s="197" t="s">
        <v>4</v>
      </c>
    </row>
    <row r="347" spans="1:13" ht="18" customHeight="1">
      <c r="A347" s="388"/>
      <c r="B347" s="389"/>
      <c r="C347" s="389"/>
      <c r="D347" s="389"/>
      <c r="E347" s="389"/>
      <c r="F347" s="390"/>
      <c r="G347" s="199"/>
      <c r="H347" s="200"/>
      <c r="I347" s="200">
        <v>2023</v>
      </c>
      <c r="J347" s="200" t="s">
        <v>137</v>
      </c>
      <c r="K347" s="200" t="s">
        <v>138</v>
      </c>
      <c r="L347" s="200">
        <v>2024</v>
      </c>
      <c r="M347" s="201">
        <v>2025</v>
      </c>
    </row>
    <row r="348" spans="1:13" ht="18" customHeight="1">
      <c r="A348" s="388" t="s">
        <v>8</v>
      </c>
      <c r="B348" s="389"/>
      <c r="C348" s="389"/>
      <c r="D348" s="389"/>
      <c r="E348" s="389"/>
      <c r="F348" s="390"/>
      <c r="G348" s="202"/>
      <c r="H348" s="203" t="s">
        <v>186</v>
      </c>
      <c r="I348" s="200" t="s">
        <v>311</v>
      </c>
      <c r="J348" s="200" t="s">
        <v>136</v>
      </c>
      <c r="K348" s="200" t="s">
        <v>139</v>
      </c>
      <c r="L348" s="200" t="s">
        <v>311</v>
      </c>
      <c r="M348" s="201" t="s">
        <v>311</v>
      </c>
    </row>
    <row r="349" spans="1:13" ht="18" customHeight="1">
      <c r="A349" s="204"/>
      <c r="B349" s="99"/>
      <c r="C349" s="99"/>
      <c r="D349" s="99"/>
      <c r="E349" s="99"/>
      <c r="F349" s="205"/>
      <c r="G349" s="202"/>
      <c r="H349" s="200"/>
      <c r="I349" s="200" t="s">
        <v>136</v>
      </c>
      <c r="J349" s="200">
        <v>2024</v>
      </c>
      <c r="K349" s="200">
        <v>2024</v>
      </c>
      <c r="L349" s="200" t="s">
        <v>312</v>
      </c>
      <c r="M349" s="201" t="s">
        <v>140</v>
      </c>
    </row>
    <row r="350" spans="1:13" ht="18" customHeight="1" thickBot="1">
      <c r="A350" s="391"/>
      <c r="B350" s="392"/>
      <c r="C350" s="392"/>
      <c r="D350" s="392"/>
      <c r="E350" s="392"/>
      <c r="F350" s="393"/>
      <c r="G350" s="206"/>
      <c r="H350" s="207"/>
      <c r="I350" s="207"/>
      <c r="J350" s="207"/>
      <c r="K350" s="207"/>
      <c r="L350" s="207"/>
      <c r="M350" s="208"/>
    </row>
    <row r="351" spans="1:13" ht="18" customHeight="1">
      <c r="A351" s="209"/>
      <c r="B351" s="210" t="s">
        <v>51</v>
      </c>
      <c r="C351" s="211"/>
      <c r="D351" s="210"/>
      <c r="E351" s="210"/>
      <c r="F351" s="212"/>
      <c r="G351" s="213"/>
      <c r="H351" s="225"/>
      <c r="I351" s="226"/>
      <c r="J351" s="62"/>
      <c r="K351" s="62"/>
      <c r="L351" s="62"/>
      <c r="M351" s="62"/>
    </row>
    <row r="352" spans="1:13" s="97" customFormat="1" ht="18" customHeight="1">
      <c r="A352" s="133"/>
      <c r="B352" s="127"/>
      <c r="C352" s="127" t="s">
        <v>102</v>
      </c>
      <c r="D352" s="127"/>
      <c r="E352" s="127"/>
      <c r="F352" s="128"/>
      <c r="G352" s="129"/>
      <c r="H352" s="167"/>
      <c r="I352" s="168"/>
      <c r="J352" s="63"/>
      <c r="K352" s="63"/>
      <c r="L352" s="63"/>
      <c r="M352" s="63"/>
    </row>
    <row r="353" spans="1:13" s="97" customFormat="1" ht="18" customHeight="1">
      <c r="A353" s="133"/>
      <c r="B353" s="127"/>
      <c r="C353" s="127"/>
      <c r="D353" s="127" t="s">
        <v>103</v>
      </c>
      <c r="E353" s="127"/>
      <c r="F353" s="128"/>
      <c r="G353" s="129" t="s">
        <v>156</v>
      </c>
      <c r="H353" s="130" t="s">
        <v>196</v>
      </c>
      <c r="I353" s="135">
        <v>818480.22</v>
      </c>
      <c r="J353" s="39">
        <v>183246</v>
      </c>
      <c r="K353" s="39">
        <f>389832-J353</f>
        <v>206586</v>
      </c>
      <c r="L353" s="39">
        <f>SUM(K353+J353)</f>
        <v>389832</v>
      </c>
      <c r="M353" s="39">
        <v>1440392</v>
      </c>
    </row>
    <row r="354" spans="1:13" s="97" customFormat="1" ht="18" customHeight="1">
      <c r="A354" s="133"/>
      <c r="B354" s="127"/>
      <c r="C354" s="127" t="s">
        <v>104</v>
      </c>
      <c r="D354" s="127"/>
      <c r="E354" s="127"/>
      <c r="F354" s="128"/>
      <c r="G354" s="129"/>
      <c r="H354" s="137"/>
      <c r="I354" s="135"/>
      <c r="J354" s="39"/>
      <c r="K354" s="39"/>
      <c r="L354" s="39"/>
      <c r="M354" s="39"/>
    </row>
    <row r="355" spans="1:13" s="97" customFormat="1" ht="18" customHeight="1">
      <c r="A355" s="133"/>
      <c r="B355" s="127"/>
      <c r="C355" s="127"/>
      <c r="D355" s="127" t="s">
        <v>105</v>
      </c>
      <c r="E355" s="127"/>
      <c r="F355" s="128"/>
      <c r="G355" s="129" t="s">
        <v>157</v>
      </c>
      <c r="H355" s="130" t="s">
        <v>197</v>
      </c>
      <c r="I355" s="135">
        <v>58363.64</v>
      </c>
      <c r="J355" s="39">
        <v>24000</v>
      </c>
      <c r="K355" s="39">
        <f>72000-J355</f>
        <v>48000</v>
      </c>
      <c r="L355" s="39">
        <f t="shared" ref="L355:L373" si="21">SUM(K355+J355)</f>
        <v>72000</v>
      </c>
      <c r="M355" s="39">
        <v>72000</v>
      </c>
    </row>
    <row r="356" spans="1:13" s="97" customFormat="1" ht="18" customHeight="1">
      <c r="A356" s="133"/>
      <c r="B356" s="127"/>
      <c r="C356" s="127"/>
      <c r="D356" s="127" t="s">
        <v>107</v>
      </c>
      <c r="E356" s="127"/>
      <c r="F356" s="128"/>
      <c r="G356" s="129" t="s">
        <v>158</v>
      </c>
      <c r="H356" s="130" t="s">
        <v>198</v>
      </c>
      <c r="I356" s="135">
        <v>33034.089999999997</v>
      </c>
      <c r="J356" s="39"/>
      <c r="K356" s="39">
        <f>10200-J356</f>
        <v>10200</v>
      </c>
      <c r="L356" s="39">
        <f t="shared" si="21"/>
        <v>10200</v>
      </c>
      <c r="M356" s="39">
        <v>86700</v>
      </c>
    </row>
    <row r="357" spans="1:13" s="97" customFormat="1" ht="18" customHeight="1">
      <c r="A357" s="133"/>
      <c r="B357" s="127"/>
      <c r="C357" s="127"/>
      <c r="D357" s="127" t="s">
        <v>106</v>
      </c>
      <c r="E357" s="127"/>
      <c r="F357" s="128"/>
      <c r="G357" s="129" t="s">
        <v>159</v>
      </c>
      <c r="H357" s="130" t="s">
        <v>199</v>
      </c>
      <c r="I357" s="135">
        <v>33034.089999999997</v>
      </c>
      <c r="J357" s="39"/>
      <c r="K357" s="39">
        <f>86700-J357</f>
        <v>86700</v>
      </c>
      <c r="L357" s="39">
        <f t="shared" si="21"/>
        <v>86700</v>
      </c>
      <c r="M357" s="39">
        <v>86700</v>
      </c>
    </row>
    <row r="358" spans="1:13" s="97" customFormat="1" ht="18" customHeight="1">
      <c r="A358" s="133"/>
      <c r="B358" s="127"/>
      <c r="C358" s="127"/>
      <c r="D358" s="127" t="s">
        <v>108</v>
      </c>
      <c r="E358" s="127"/>
      <c r="F358" s="128"/>
      <c r="G358" s="129" t="s">
        <v>160</v>
      </c>
      <c r="H358" s="130" t="s">
        <v>200</v>
      </c>
      <c r="I358" s="135">
        <v>18000</v>
      </c>
      <c r="J358" s="39">
        <v>14000</v>
      </c>
      <c r="K358" s="39">
        <f>21000-J358</f>
        <v>7000</v>
      </c>
      <c r="L358" s="39">
        <f t="shared" si="21"/>
        <v>21000</v>
      </c>
      <c r="M358" s="39">
        <v>21000</v>
      </c>
    </row>
    <row r="359" spans="1:13" s="97" customFormat="1" ht="18" customHeight="1">
      <c r="A359" s="133"/>
      <c r="B359" s="127"/>
      <c r="C359" s="127"/>
      <c r="D359" s="127" t="s">
        <v>194</v>
      </c>
      <c r="E359" s="127"/>
      <c r="F359" s="128"/>
      <c r="G359" s="129" t="s">
        <v>162</v>
      </c>
      <c r="H359" s="130" t="s">
        <v>201</v>
      </c>
      <c r="I359" s="135">
        <v>10000</v>
      </c>
      <c r="J359" s="39"/>
      <c r="K359" s="39">
        <f>15000-J359</f>
        <v>15000</v>
      </c>
      <c r="L359" s="39">
        <f t="shared" si="21"/>
        <v>15000</v>
      </c>
      <c r="M359" s="39">
        <v>15000</v>
      </c>
    </row>
    <row r="360" spans="1:13" s="97" customFormat="1" ht="18" customHeight="1">
      <c r="A360" s="133"/>
      <c r="B360" s="127"/>
      <c r="C360" s="127"/>
      <c r="D360" s="127" t="s">
        <v>110</v>
      </c>
      <c r="E360" s="127"/>
      <c r="F360" s="128"/>
      <c r="G360" s="129" t="s">
        <v>92</v>
      </c>
      <c r="H360" s="130" t="s">
        <v>202</v>
      </c>
      <c r="I360" s="135">
        <v>5000</v>
      </c>
      <c r="J360" s="39"/>
      <c r="K360" s="39">
        <f>10000-J360</f>
        <v>10000</v>
      </c>
      <c r="L360" s="39">
        <f t="shared" si="21"/>
        <v>10000</v>
      </c>
      <c r="M360" s="39">
        <v>0</v>
      </c>
    </row>
    <row r="361" spans="1:13" s="97" customFormat="1" ht="18" customHeight="1">
      <c r="A361" s="133"/>
      <c r="B361" s="127"/>
      <c r="C361" s="127"/>
      <c r="D361" s="127" t="s">
        <v>354</v>
      </c>
      <c r="E361" s="127"/>
      <c r="F361" s="128"/>
      <c r="G361" s="129" t="s">
        <v>92</v>
      </c>
      <c r="H361" s="130" t="s">
        <v>202</v>
      </c>
      <c r="I361" s="135"/>
      <c r="J361" s="39"/>
      <c r="K361" s="39">
        <f>0-J361</f>
        <v>0</v>
      </c>
      <c r="L361" s="39">
        <f t="shared" si="21"/>
        <v>0</v>
      </c>
      <c r="M361" s="39">
        <v>0</v>
      </c>
    </row>
    <row r="362" spans="1:13" s="97" customFormat="1" ht="18" customHeight="1">
      <c r="A362" s="133"/>
      <c r="B362" s="127"/>
      <c r="C362" s="127"/>
      <c r="D362" s="127" t="s">
        <v>421</v>
      </c>
      <c r="E362" s="127"/>
      <c r="F362" s="128"/>
      <c r="G362" s="129"/>
      <c r="H362" s="130" t="s">
        <v>202</v>
      </c>
      <c r="I362" s="135"/>
      <c r="J362" s="39"/>
      <c r="K362" s="39">
        <f>0-J362</f>
        <v>0</v>
      </c>
      <c r="L362" s="39">
        <f t="shared" si="21"/>
        <v>0</v>
      </c>
      <c r="M362" s="39">
        <v>21000</v>
      </c>
    </row>
    <row r="363" spans="1:13" s="97" customFormat="1" ht="18" customHeight="1">
      <c r="A363" s="133"/>
      <c r="B363" s="127"/>
      <c r="C363" s="127"/>
      <c r="D363" s="127" t="s">
        <v>112</v>
      </c>
      <c r="E363" s="127"/>
      <c r="F363" s="128"/>
      <c r="G363" s="129" t="s">
        <v>165</v>
      </c>
      <c r="H363" s="130" t="s">
        <v>203</v>
      </c>
      <c r="I363" s="135">
        <v>13000</v>
      </c>
      <c r="J363" s="39"/>
      <c r="K363" s="39">
        <f>15000-J363</f>
        <v>15000</v>
      </c>
      <c r="L363" s="39">
        <f t="shared" si="21"/>
        <v>15000</v>
      </c>
      <c r="M363" s="39">
        <v>15000</v>
      </c>
    </row>
    <row r="364" spans="1:13" s="97" customFormat="1" ht="18" customHeight="1">
      <c r="A364" s="133"/>
      <c r="B364" s="127"/>
      <c r="C364" s="127"/>
      <c r="D364" s="127" t="s">
        <v>252</v>
      </c>
      <c r="E364" s="127"/>
      <c r="F364" s="127"/>
      <c r="G364" s="138" t="s">
        <v>92</v>
      </c>
      <c r="H364" s="130" t="s">
        <v>202</v>
      </c>
      <c r="I364" s="135">
        <v>116040</v>
      </c>
      <c r="J364" s="39">
        <v>30541</v>
      </c>
      <c r="K364" s="39">
        <f>30541-J364</f>
        <v>0</v>
      </c>
      <c r="L364" s="39">
        <f t="shared" si="21"/>
        <v>30541</v>
      </c>
      <c r="M364" s="39">
        <v>118350</v>
      </c>
    </row>
    <row r="365" spans="1:13" s="97" customFormat="1" ht="18.75" customHeight="1">
      <c r="A365" s="133"/>
      <c r="B365" s="127"/>
      <c r="C365" s="127"/>
      <c r="D365" s="127" t="s">
        <v>113</v>
      </c>
      <c r="E365" s="127"/>
      <c r="F365" s="128"/>
      <c r="G365" s="129" t="s">
        <v>166</v>
      </c>
      <c r="H365" s="130" t="s">
        <v>204</v>
      </c>
      <c r="I365" s="135">
        <v>81994</v>
      </c>
      <c r="J365" s="39"/>
      <c r="K365" s="39">
        <f>35209-J365</f>
        <v>35209</v>
      </c>
      <c r="L365" s="39">
        <f t="shared" si="21"/>
        <v>35209</v>
      </c>
      <c r="M365" s="39">
        <v>123398</v>
      </c>
    </row>
    <row r="366" spans="1:13" s="97" customFormat="1" ht="18" customHeight="1">
      <c r="A366" s="133"/>
      <c r="B366" s="127"/>
      <c r="C366" s="127"/>
      <c r="D366" s="127" t="s">
        <v>190</v>
      </c>
      <c r="E366" s="127"/>
      <c r="F366" s="128"/>
      <c r="G366" s="129" t="s">
        <v>167</v>
      </c>
      <c r="H366" s="130" t="s">
        <v>205</v>
      </c>
      <c r="I366" s="135">
        <f>94330.8+886.2</f>
        <v>95217</v>
      </c>
      <c r="J366" s="39">
        <v>18324</v>
      </c>
      <c r="K366" s="39">
        <f>157400-J366</f>
        <v>139076</v>
      </c>
      <c r="L366" s="39">
        <f t="shared" si="21"/>
        <v>157400</v>
      </c>
      <c r="M366" s="39">
        <v>173000</v>
      </c>
    </row>
    <row r="367" spans="1:13" s="97" customFormat="1" ht="18" customHeight="1">
      <c r="A367" s="133"/>
      <c r="B367" s="127"/>
      <c r="C367" s="127"/>
      <c r="D367" s="127" t="s">
        <v>114</v>
      </c>
      <c r="E367" s="127"/>
      <c r="F367" s="128"/>
      <c r="G367" s="129" t="s">
        <v>168</v>
      </c>
      <c r="H367" s="130" t="s">
        <v>206</v>
      </c>
      <c r="I367" s="135">
        <f>2800+200</f>
        <v>3000</v>
      </c>
      <c r="J367" s="39">
        <v>1800</v>
      </c>
      <c r="K367" s="39">
        <f>7200-J367</f>
        <v>5400</v>
      </c>
      <c r="L367" s="39">
        <f t="shared" si="21"/>
        <v>7200</v>
      </c>
      <c r="M367" s="39">
        <v>7200</v>
      </c>
    </row>
    <row r="368" spans="1:13" s="97" customFormat="1" ht="18" customHeight="1">
      <c r="A368" s="133"/>
      <c r="B368" s="127"/>
      <c r="C368" s="127"/>
      <c r="D368" s="127" t="s">
        <v>115</v>
      </c>
      <c r="E368" s="127"/>
      <c r="F368" s="128"/>
      <c r="G368" s="129" t="s">
        <v>169</v>
      </c>
      <c r="H368" s="130" t="s">
        <v>207</v>
      </c>
      <c r="I368" s="135">
        <v>16714.099999999999</v>
      </c>
      <c r="J368" s="39">
        <v>3817.63</v>
      </c>
      <c r="K368" s="39">
        <f>33200-J368</f>
        <v>29382.37</v>
      </c>
      <c r="L368" s="39">
        <f t="shared" si="21"/>
        <v>33200</v>
      </c>
      <c r="M368" s="39">
        <v>37000</v>
      </c>
    </row>
    <row r="369" spans="1:13" s="97" customFormat="1" ht="18" customHeight="1">
      <c r="A369" s="133"/>
      <c r="B369" s="127"/>
      <c r="C369" s="127"/>
      <c r="D369" s="127" t="s">
        <v>189</v>
      </c>
      <c r="E369" s="127"/>
      <c r="F369" s="128"/>
      <c r="G369" s="129" t="s">
        <v>170</v>
      </c>
      <c r="H369" s="130" t="s">
        <v>208</v>
      </c>
      <c r="I369" s="135">
        <v>2900</v>
      </c>
      <c r="J369" s="39">
        <v>1000</v>
      </c>
      <c r="K369" s="39">
        <f>3600-J369</f>
        <v>2600</v>
      </c>
      <c r="L369" s="39">
        <f t="shared" si="21"/>
        <v>3600</v>
      </c>
      <c r="M369" s="39">
        <v>3600</v>
      </c>
    </row>
    <row r="370" spans="1:13" s="97" customFormat="1" ht="18" customHeight="1">
      <c r="A370" s="133"/>
      <c r="B370" s="127"/>
      <c r="C370" s="127"/>
      <c r="D370" s="127" t="s">
        <v>54</v>
      </c>
      <c r="E370" s="127"/>
      <c r="F370" s="128"/>
      <c r="G370" s="129"/>
      <c r="H370" s="130" t="s">
        <v>209</v>
      </c>
      <c r="I370" s="135">
        <v>415603.25</v>
      </c>
      <c r="J370" s="39"/>
      <c r="K370" s="39">
        <f>0-J370</f>
        <v>0</v>
      </c>
      <c r="L370" s="39">
        <f t="shared" si="21"/>
        <v>0</v>
      </c>
      <c r="M370" s="39">
        <v>0</v>
      </c>
    </row>
    <row r="371" spans="1:13" s="97" customFormat="1" ht="18" customHeight="1">
      <c r="A371" s="133"/>
      <c r="B371" s="127"/>
      <c r="C371" s="127"/>
      <c r="D371" s="127" t="s">
        <v>117</v>
      </c>
      <c r="E371" s="127"/>
      <c r="F371" s="128"/>
      <c r="G371" s="129" t="s">
        <v>67</v>
      </c>
      <c r="H371" s="130" t="s">
        <v>220</v>
      </c>
      <c r="I371" s="135"/>
      <c r="J371" s="39"/>
      <c r="K371" s="39">
        <f>0-J371</f>
        <v>0</v>
      </c>
      <c r="L371" s="39">
        <f t="shared" si="21"/>
        <v>0</v>
      </c>
      <c r="M371" s="39">
        <v>0</v>
      </c>
    </row>
    <row r="372" spans="1:13" s="97" customFormat="1" ht="18" customHeight="1">
      <c r="A372" s="133"/>
      <c r="B372" s="127"/>
      <c r="C372" s="127"/>
      <c r="D372" s="127" t="s">
        <v>343</v>
      </c>
      <c r="E372" s="127"/>
      <c r="F372" s="128"/>
      <c r="G372" s="129"/>
      <c r="H372" s="130" t="s">
        <v>220</v>
      </c>
      <c r="I372" s="135">
        <v>40000</v>
      </c>
      <c r="J372" s="39"/>
      <c r="K372" s="39">
        <f>40000-J372</f>
        <v>40000</v>
      </c>
      <c r="L372" s="39">
        <f t="shared" si="21"/>
        <v>40000</v>
      </c>
      <c r="M372" s="39">
        <v>0</v>
      </c>
    </row>
    <row r="373" spans="1:13" s="45" customFormat="1" ht="18" customHeight="1">
      <c r="A373" s="133"/>
      <c r="B373" s="127"/>
      <c r="C373" s="127"/>
      <c r="D373" s="191" t="s">
        <v>423</v>
      </c>
      <c r="E373" s="127"/>
      <c r="F373" s="128"/>
      <c r="G373" s="129"/>
      <c r="H373" s="130" t="s">
        <v>220</v>
      </c>
      <c r="I373" s="135">
        <v>85000</v>
      </c>
      <c r="J373" s="39"/>
      <c r="K373" s="39">
        <f>60000-J373</f>
        <v>60000</v>
      </c>
      <c r="L373" s="39">
        <f t="shared" si="21"/>
        <v>60000</v>
      </c>
      <c r="M373" s="39">
        <v>0</v>
      </c>
    </row>
    <row r="374" spans="1:13" ht="18" customHeight="1">
      <c r="A374" s="139"/>
      <c r="B374" s="140"/>
      <c r="C374" s="140"/>
      <c r="D374" s="140" t="s">
        <v>53</v>
      </c>
      <c r="E374" s="140"/>
      <c r="F374" s="141"/>
      <c r="G374" s="142"/>
      <c r="H374" s="169"/>
      <c r="I374" s="143">
        <f>SUM(I353:I373)</f>
        <v>1845380.3900000001</v>
      </c>
      <c r="J374" s="143">
        <f t="shared" ref="J374" si="22">SUM(J353:J373)</f>
        <v>276728.63</v>
      </c>
      <c r="K374" s="143">
        <f>SUM(K353:K373)</f>
        <v>710153.37</v>
      </c>
      <c r="L374" s="143">
        <f t="shared" ref="L374:M374" si="23">SUM(L353:L373)</f>
        <v>986882</v>
      </c>
      <c r="M374" s="143">
        <f t="shared" si="23"/>
        <v>2220340</v>
      </c>
    </row>
    <row r="375" spans="1:13" s="97" customFormat="1" ht="18" customHeight="1">
      <c r="A375" s="133"/>
      <c r="B375" s="127" t="s">
        <v>118</v>
      </c>
      <c r="C375" s="127"/>
      <c r="D375" s="127"/>
      <c r="E375" s="127"/>
      <c r="F375" s="128"/>
      <c r="G375" s="129"/>
      <c r="H375" s="167"/>
      <c r="I375" s="135"/>
      <c r="J375" s="39"/>
      <c r="K375" s="39"/>
      <c r="L375" s="39"/>
      <c r="M375" s="39"/>
    </row>
    <row r="376" spans="1:13" s="97" customFormat="1" ht="18" customHeight="1">
      <c r="A376" s="133"/>
      <c r="B376" s="127"/>
      <c r="C376" s="127"/>
      <c r="D376" s="127" t="s">
        <v>119</v>
      </c>
      <c r="E376" s="127"/>
      <c r="F376" s="128"/>
      <c r="G376" s="129" t="s">
        <v>60</v>
      </c>
      <c r="H376" s="130" t="s">
        <v>210</v>
      </c>
      <c r="I376" s="135">
        <v>19550</v>
      </c>
      <c r="J376" s="39">
        <v>2450</v>
      </c>
      <c r="K376" s="39">
        <f>30330-J376</f>
        <v>27880</v>
      </c>
      <c r="L376" s="39">
        <f t="shared" ref="L376:L383" si="24">SUM(K376+J376)</f>
        <v>30330</v>
      </c>
      <c r="M376" s="39">
        <v>50000</v>
      </c>
    </row>
    <row r="377" spans="1:13" s="97" customFormat="1" ht="18" customHeight="1">
      <c r="A377" s="133"/>
      <c r="B377" s="127"/>
      <c r="C377" s="127"/>
      <c r="D377" s="127" t="s">
        <v>91</v>
      </c>
      <c r="E377" s="127"/>
      <c r="F377" s="128"/>
      <c r="G377" s="129" t="s">
        <v>61</v>
      </c>
      <c r="H377" s="130" t="s">
        <v>211</v>
      </c>
      <c r="I377" s="135">
        <v>33550</v>
      </c>
      <c r="J377" s="39">
        <v>0</v>
      </c>
      <c r="K377" s="39">
        <f>50000-J377</f>
        <v>50000</v>
      </c>
      <c r="L377" s="39">
        <f t="shared" si="24"/>
        <v>50000</v>
      </c>
      <c r="M377" s="39">
        <v>50000</v>
      </c>
    </row>
    <row r="378" spans="1:13" s="97" customFormat="1" ht="18" customHeight="1">
      <c r="A378" s="133"/>
      <c r="B378" s="127"/>
      <c r="C378" s="127"/>
      <c r="D378" s="127" t="s">
        <v>58</v>
      </c>
      <c r="E378" s="127"/>
      <c r="F378" s="128"/>
      <c r="G378" s="129" t="s">
        <v>63</v>
      </c>
      <c r="H378" s="130" t="s">
        <v>212</v>
      </c>
      <c r="I378" s="135">
        <v>52683</v>
      </c>
      <c r="J378" s="39">
        <v>10990.79</v>
      </c>
      <c r="K378" s="39">
        <f>89445-J378</f>
        <v>78454.209999999992</v>
      </c>
      <c r="L378" s="39">
        <f t="shared" si="24"/>
        <v>89445</v>
      </c>
      <c r="M378" s="39">
        <v>100000</v>
      </c>
    </row>
    <row r="379" spans="1:13" s="97" customFormat="1" ht="18" customHeight="1">
      <c r="A379" s="133"/>
      <c r="B379" s="127"/>
      <c r="C379" s="127"/>
      <c r="D379" s="127" t="s">
        <v>123</v>
      </c>
      <c r="E379" s="127"/>
      <c r="F379" s="128"/>
      <c r="G379" s="129" t="s">
        <v>175</v>
      </c>
      <c r="H379" s="130" t="s">
        <v>213</v>
      </c>
      <c r="I379" s="135">
        <v>0</v>
      </c>
      <c r="J379" s="39">
        <v>0</v>
      </c>
      <c r="K379" s="39">
        <f>1000-J379</f>
        <v>1000</v>
      </c>
      <c r="L379" s="39">
        <f t="shared" si="24"/>
        <v>1000</v>
      </c>
      <c r="M379" s="39">
        <v>1000</v>
      </c>
    </row>
    <row r="380" spans="1:13" s="97" customFormat="1" ht="18" customHeight="1">
      <c r="A380" s="133"/>
      <c r="B380" s="127"/>
      <c r="C380" s="127"/>
      <c r="D380" s="127" t="s">
        <v>125</v>
      </c>
      <c r="E380" s="127"/>
      <c r="F380" s="128"/>
      <c r="G380" s="129" t="s">
        <v>64</v>
      </c>
      <c r="H380" s="130" t="s">
        <v>214</v>
      </c>
      <c r="I380" s="135">
        <v>18545.45</v>
      </c>
      <c r="J380" s="39">
        <v>0</v>
      </c>
      <c r="K380" s="39">
        <f>0-J380</f>
        <v>0</v>
      </c>
      <c r="L380" s="39">
        <f t="shared" si="24"/>
        <v>0</v>
      </c>
      <c r="M380" s="39">
        <v>24000</v>
      </c>
    </row>
    <row r="381" spans="1:13" s="97" customFormat="1" ht="18" customHeight="1">
      <c r="A381" s="133"/>
      <c r="B381" s="127"/>
      <c r="C381" s="127"/>
      <c r="D381" s="127" t="s">
        <v>304</v>
      </c>
      <c r="E381" s="127"/>
      <c r="F381" s="128"/>
      <c r="G381" s="129" t="s">
        <v>65</v>
      </c>
      <c r="H381" s="130" t="s">
        <v>215</v>
      </c>
      <c r="I381" s="135"/>
      <c r="J381" s="39">
        <v>1008</v>
      </c>
      <c r="K381" s="39">
        <f>1008-J381</f>
        <v>0</v>
      </c>
      <c r="L381" s="39">
        <f t="shared" si="24"/>
        <v>1008</v>
      </c>
      <c r="M381" s="39">
        <v>14000</v>
      </c>
    </row>
    <row r="382" spans="1:13" s="97" customFormat="1" ht="18" customHeight="1">
      <c r="A382" s="133"/>
      <c r="B382" s="127"/>
      <c r="C382" s="127"/>
      <c r="D382" s="127" t="s">
        <v>131</v>
      </c>
      <c r="E382" s="127"/>
      <c r="F382" s="128"/>
      <c r="G382" s="129" t="s">
        <v>66</v>
      </c>
      <c r="H382" s="130" t="s">
        <v>216</v>
      </c>
      <c r="I382" s="135"/>
      <c r="J382" s="39">
        <v>0</v>
      </c>
      <c r="K382" s="39">
        <f>6000-J382</f>
        <v>6000</v>
      </c>
      <c r="L382" s="39">
        <f t="shared" si="24"/>
        <v>6000</v>
      </c>
      <c r="M382" s="39">
        <v>6000</v>
      </c>
    </row>
    <row r="383" spans="1:13" s="45" customFormat="1" ht="18" customHeight="1">
      <c r="A383" s="133"/>
      <c r="B383" s="127"/>
      <c r="C383" s="127"/>
      <c r="D383" s="127" t="s">
        <v>366</v>
      </c>
      <c r="E383" s="127"/>
      <c r="F383" s="128"/>
      <c r="G383" s="129"/>
      <c r="H383" s="130" t="s">
        <v>216</v>
      </c>
      <c r="I383" s="135"/>
      <c r="J383" s="39">
        <v>0</v>
      </c>
      <c r="K383" s="39">
        <f>0-J383</f>
        <v>0</v>
      </c>
      <c r="L383" s="39">
        <f t="shared" si="24"/>
        <v>0</v>
      </c>
      <c r="M383" s="39">
        <v>0</v>
      </c>
    </row>
    <row r="384" spans="1:13" s="97" customFormat="1" ht="18" customHeight="1">
      <c r="A384" s="139"/>
      <c r="B384" s="140"/>
      <c r="C384" s="140"/>
      <c r="D384" s="140" t="s">
        <v>244</v>
      </c>
      <c r="E384" s="140"/>
      <c r="F384" s="141"/>
      <c r="G384" s="142"/>
      <c r="H384" s="169"/>
      <c r="I384" s="143">
        <f>SUM(I376:I383)</f>
        <v>124328.45</v>
      </c>
      <c r="J384" s="143">
        <f>SUM(J376:J383)</f>
        <v>14448.79</v>
      </c>
      <c r="K384" s="143">
        <f>SUM(K376:K383)</f>
        <v>163334.21</v>
      </c>
      <c r="L384" s="143">
        <f>SUM(L376:L383)</f>
        <v>177783</v>
      </c>
      <c r="M384" s="143">
        <f>SUM(M376:M383)</f>
        <v>245000</v>
      </c>
    </row>
    <row r="385" spans="1:13" s="97" customFormat="1" ht="18" customHeight="1">
      <c r="A385" s="133"/>
      <c r="B385" s="127" t="s">
        <v>132</v>
      </c>
      <c r="C385" s="127"/>
      <c r="D385" s="127"/>
      <c r="E385" s="127"/>
      <c r="F385" s="128"/>
      <c r="G385" s="129"/>
      <c r="H385" s="167"/>
      <c r="I385" s="135"/>
      <c r="J385" s="39"/>
      <c r="K385" s="39"/>
      <c r="L385" s="39"/>
      <c r="M385" s="39"/>
    </row>
    <row r="386" spans="1:13" s="97" customFormat="1" ht="18" customHeight="1">
      <c r="A386" s="133"/>
      <c r="B386" s="127"/>
      <c r="C386" s="127"/>
      <c r="D386" s="127" t="s">
        <v>408</v>
      </c>
      <c r="E386" s="127"/>
      <c r="F386" s="128"/>
      <c r="G386" s="129" t="s">
        <v>287</v>
      </c>
      <c r="H386" s="130" t="s">
        <v>348</v>
      </c>
      <c r="I386" s="135">
        <v>0</v>
      </c>
      <c r="J386" s="39">
        <v>0</v>
      </c>
      <c r="K386" s="39">
        <f>70000-J386</f>
        <v>70000</v>
      </c>
      <c r="L386" s="39">
        <f>SUM(K386+J386)</f>
        <v>70000</v>
      </c>
      <c r="M386" s="39">
        <v>250000</v>
      </c>
    </row>
    <row r="387" spans="1:13" s="97" customFormat="1" ht="18" customHeight="1">
      <c r="A387" s="133"/>
      <c r="B387" s="127"/>
      <c r="C387" s="127"/>
      <c r="D387" s="127" t="s">
        <v>292</v>
      </c>
      <c r="E387" s="127"/>
      <c r="F387" s="128"/>
      <c r="G387" s="129" t="s">
        <v>303</v>
      </c>
      <c r="H387" s="130" t="s">
        <v>293</v>
      </c>
      <c r="I387" s="135">
        <v>0</v>
      </c>
      <c r="J387" s="39">
        <v>0</v>
      </c>
      <c r="K387" s="39">
        <f>0-J387</f>
        <v>0</v>
      </c>
      <c r="L387" s="39">
        <f>SUM(K387+J387)</f>
        <v>0</v>
      </c>
      <c r="M387" s="39"/>
    </row>
    <row r="388" spans="1:13" s="144" customFormat="1" ht="18" customHeight="1">
      <c r="A388" s="133"/>
      <c r="B388" s="127"/>
      <c r="C388" s="127"/>
      <c r="D388" s="127" t="s">
        <v>288</v>
      </c>
      <c r="E388" s="127"/>
      <c r="F388" s="128"/>
      <c r="G388" s="129" t="s">
        <v>289</v>
      </c>
      <c r="H388" s="130" t="s">
        <v>290</v>
      </c>
      <c r="I388" s="135">
        <v>0</v>
      </c>
      <c r="J388" s="39">
        <v>0</v>
      </c>
      <c r="K388" s="39">
        <f>0-J388</f>
        <v>0</v>
      </c>
      <c r="L388" s="39">
        <f>SUM(K388+J388)</f>
        <v>0</v>
      </c>
      <c r="M388" s="39"/>
    </row>
    <row r="389" spans="1:13" s="144" customFormat="1" ht="18" customHeight="1">
      <c r="A389" s="139"/>
      <c r="B389" s="127"/>
      <c r="C389" s="140"/>
      <c r="D389" s="140" t="s">
        <v>245</v>
      </c>
      <c r="E389" s="140"/>
      <c r="F389" s="141"/>
      <c r="G389" s="142"/>
      <c r="H389" s="169"/>
      <c r="I389" s="143">
        <f>SUM(I386:I388)</f>
        <v>0</v>
      </c>
      <c r="J389" s="143">
        <f>SUM(J386:J388)</f>
        <v>0</v>
      </c>
      <c r="K389" s="143">
        <f>SUM(K386:K388)</f>
        <v>70000</v>
      </c>
      <c r="L389" s="143">
        <f>SUM(L386:L388)</f>
        <v>70000</v>
      </c>
      <c r="M389" s="143">
        <f>SUM(M386:M388)</f>
        <v>250000</v>
      </c>
    </row>
    <row r="390" spans="1:13" s="144" customFormat="1" ht="18" customHeight="1">
      <c r="A390" s="146"/>
      <c r="B390" s="147" t="s">
        <v>133</v>
      </c>
      <c r="C390" s="148"/>
      <c r="D390" s="148"/>
      <c r="E390" s="148"/>
      <c r="F390" s="149"/>
      <c r="G390" s="150"/>
      <c r="H390" s="151"/>
      <c r="I390" s="152"/>
      <c r="J390" s="172"/>
      <c r="K390" s="172"/>
      <c r="L390" s="172"/>
      <c r="M390" s="172"/>
    </row>
    <row r="391" spans="1:13" s="97" customFormat="1" ht="18" customHeight="1">
      <c r="A391" s="139"/>
      <c r="B391" s="140"/>
      <c r="C391" s="140"/>
      <c r="D391" s="127" t="s">
        <v>367</v>
      </c>
      <c r="E391" s="140"/>
      <c r="F391" s="141"/>
      <c r="G391" s="142"/>
      <c r="H391" s="4" t="s">
        <v>71</v>
      </c>
      <c r="I391" s="22">
        <v>108950</v>
      </c>
      <c r="J391" s="9">
        <v>150000</v>
      </c>
      <c r="K391" s="9">
        <f>150000-J391</f>
        <v>0</v>
      </c>
      <c r="L391" s="9">
        <f t="shared" ref="L391" si="25">K391+J391</f>
        <v>150000</v>
      </c>
      <c r="M391" s="9">
        <v>150000</v>
      </c>
    </row>
    <row r="392" spans="1:13" s="97" customFormat="1" ht="18" customHeight="1">
      <c r="A392" s="146" t="s">
        <v>187</v>
      </c>
      <c r="B392" s="148"/>
      <c r="C392" s="148"/>
      <c r="D392" s="148"/>
      <c r="E392" s="148"/>
      <c r="F392" s="149"/>
      <c r="G392" s="166"/>
      <c r="H392" s="170"/>
      <c r="I392" s="152">
        <f>SUM(I391+I389+I384+I374)</f>
        <v>2078658.84</v>
      </c>
      <c r="J392" s="152">
        <f>SUM(J391+J389+J384+J374)</f>
        <v>441177.42000000004</v>
      </c>
      <c r="K392" s="152">
        <f t="shared" ref="K392:L392" si="26">SUM(K391+K389+K384+K374)</f>
        <v>943487.58</v>
      </c>
      <c r="L392" s="152">
        <f t="shared" si="26"/>
        <v>1384665</v>
      </c>
      <c r="M392" s="152">
        <f>SUM(M391+M389+M384+M374)</f>
        <v>2865340</v>
      </c>
    </row>
    <row r="393" spans="1:13" s="97" customFormat="1" ht="18" customHeight="1">
      <c r="A393" s="98"/>
      <c r="B393" s="98"/>
      <c r="C393" s="98"/>
      <c r="D393" s="98"/>
      <c r="E393" s="98"/>
      <c r="F393" s="98"/>
      <c r="G393" s="98"/>
      <c r="H393" s="98"/>
      <c r="I393" s="98"/>
      <c r="J393" s="98"/>
      <c r="K393" s="98"/>
      <c r="L393" s="98"/>
      <c r="M393" s="98"/>
    </row>
    <row r="394" spans="1:13" s="97" customFormat="1" ht="18" customHeight="1">
      <c r="A394" s="241" t="s">
        <v>490</v>
      </c>
      <c r="B394" s="241"/>
      <c r="C394" s="241"/>
      <c r="D394" s="241"/>
      <c r="E394" s="241"/>
      <c r="F394" s="241"/>
      <c r="G394" s="241"/>
      <c r="H394" s="241"/>
      <c r="I394" s="241"/>
      <c r="J394" s="241"/>
      <c r="K394" s="241"/>
      <c r="L394" s="241"/>
      <c r="M394" s="241"/>
    </row>
    <row r="395" spans="1:13" s="103" customFormat="1" ht="20.100000000000001" customHeight="1">
      <c r="A395" s="93"/>
      <c r="B395" s="94"/>
      <c r="C395" s="93"/>
      <c r="D395" s="93"/>
      <c r="E395" s="93"/>
      <c r="F395" s="95"/>
      <c r="G395" s="93"/>
      <c r="H395" s="96"/>
      <c r="I395" s="96"/>
      <c r="J395" s="92"/>
      <c r="K395" s="61"/>
      <c r="L395" s="61"/>
      <c r="M395" s="55"/>
    </row>
    <row r="396" spans="1:13" s="103" customFormat="1" ht="20.100000000000001" customHeight="1">
      <c r="A396" s="242" t="s">
        <v>491</v>
      </c>
      <c r="B396" s="242"/>
      <c r="C396" s="92"/>
      <c r="D396" s="242"/>
      <c r="E396" s="242"/>
      <c r="F396" s="92"/>
      <c r="G396" s="242"/>
      <c r="H396" s="242"/>
      <c r="I396" s="242" t="s">
        <v>492</v>
      </c>
      <c r="J396" s="242"/>
      <c r="K396" s="242"/>
      <c r="L396" s="242" t="s">
        <v>493</v>
      </c>
      <c r="M396" s="242"/>
    </row>
    <row r="397" spans="1:13" s="103" customFormat="1" ht="20.100000000000001" customHeight="1">
      <c r="A397" s="93"/>
      <c r="B397" s="94"/>
      <c r="C397" s="92"/>
      <c r="D397" s="93"/>
      <c r="E397" s="93"/>
      <c r="F397" s="92"/>
      <c r="G397" s="93"/>
      <c r="H397" s="92"/>
      <c r="I397" s="93"/>
      <c r="J397" s="96"/>
      <c r="K397" s="60"/>
      <c r="L397" s="95"/>
      <c r="M397" s="61"/>
    </row>
    <row r="398" spans="1:13" s="103" customFormat="1" ht="20.100000000000001" customHeight="1">
      <c r="A398" s="404" t="s">
        <v>505</v>
      </c>
      <c r="B398" s="404"/>
      <c r="C398" s="404"/>
      <c r="D398" s="404"/>
      <c r="E398" s="404"/>
      <c r="F398" s="404"/>
      <c r="G398" s="94"/>
      <c r="H398" s="243"/>
      <c r="I398" s="404" t="s">
        <v>494</v>
      </c>
      <c r="J398" s="404"/>
      <c r="K398" s="58"/>
      <c r="L398" s="404" t="s">
        <v>328</v>
      </c>
      <c r="M398" s="404"/>
    </row>
    <row r="399" spans="1:13" s="103" customFormat="1" ht="20.100000000000001" customHeight="1">
      <c r="A399" s="405" t="s">
        <v>506</v>
      </c>
      <c r="B399" s="405"/>
      <c r="C399" s="405"/>
      <c r="D399" s="405"/>
      <c r="E399" s="405"/>
      <c r="F399" s="405"/>
      <c r="G399" s="15"/>
      <c r="H399" s="15"/>
      <c r="I399" s="406" t="s">
        <v>496</v>
      </c>
      <c r="J399" s="406"/>
      <c r="K399" s="15"/>
      <c r="L399" s="405" t="s">
        <v>497</v>
      </c>
      <c r="M399" s="405"/>
    </row>
    <row r="400" spans="1:13" s="103" customFormat="1" ht="20.100000000000001" customHeight="1">
      <c r="A400" s="102"/>
      <c r="B400" s="102"/>
      <c r="C400" s="102"/>
      <c r="D400" s="102"/>
      <c r="E400" s="102"/>
      <c r="F400" s="102"/>
      <c r="G400" s="102"/>
      <c r="H400" s="102"/>
      <c r="I400" s="102"/>
      <c r="J400" s="102"/>
      <c r="K400" s="102"/>
      <c r="L400" s="102"/>
      <c r="M400" s="102"/>
    </row>
    <row r="401" spans="1:13" s="103" customFormat="1" ht="20.100000000000001" customHeight="1">
      <c r="A401" s="102"/>
      <c r="B401" s="102"/>
      <c r="C401" s="102"/>
      <c r="D401" s="102"/>
      <c r="E401" s="102"/>
      <c r="F401" s="102"/>
      <c r="G401" s="102"/>
      <c r="H401" s="102"/>
      <c r="I401" s="102"/>
      <c r="J401" s="102"/>
      <c r="K401" s="102"/>
      <c r="L401" s="102"/>
      <c r="M401" s="102"/>
    </row>
    <row r="402" spans="1:13" s="33" customFormat="1" ht="18" customHeight="1">
      <c r="A402" s="32"/>
      <c r="B402" s="31"/>
      <c r="C402" s="32"/>
      <c r="D402" s="32"/>
      <c r="E402" s="32"/>
      <c r="F402" s="32"/>
      <c r="G402" s="32"/>
      <c r="H402" s="54"/>
      <c r="I402" s="54"/>
      <c r="K402" s="61"/>
      <c r="L402" s="61"/>
      <c r="M402" s="55"/>
    </row>
    <row r="403" spans="1:13" s="33" customFormat="1" ht="18" customHeight="1">
      <c r="A403" s="32"/>
      <c r="B403" s="31"/>
      <c r="C403" s="32"/>
      <c r="D403" s="32"/>
      <c r="E403" s="32"/>
      <c r="F403" s="32"/>
      <c r="G403" s="32"/>
      <c r="H403" s="54"/>
      <c r="I403" s="54"/>
      <c r="K403" s="61"/>
      <c r="L403" s="61"/>
      <c r="M403" s="55"/>
    </row>
    <row r="404" spans="1:13" s="33" customFormat="1" ht="18" customHeight="1">
      <c r="A404" s="32"/>
      <c r="B404" s="31"/>
      <c r="C404" s="32"/>
      <c r="D404" s="32"/>
      <c r="E404" s="32"/>
      <c r="F404" s="32"/>
      <c r="G404" s="32"/>
      <c r="H404" s="54"/>
      <c r="I404" s="54"/>
      <c r="K404" s="61"/>
      <c r="L404" s="61"/>
      <c r="M404" s="55"/>
    </row>
    <row r="405" spans="1:13" s="33" customFormat="1" ht="18" customHeight="1">
      <c r="A405" s="32"/>
      <c r="B405" s="31"/>
      <c r="C405" s="32"/>
      <c r="D405" s="32"/>
      <c r="E405" s="32"/>
      <c r="F405" s="32"/>
      <c r="G405" s="32"/>
      <c r="H405" s="54"/>
      <c r="I405" s="54"/>
      <c r="K405" s="61"/>
      <c r="L405" s="61"/>
      <c r="M405" s="55"/>
    </row>
    <row r="406" spans="1:13" s="81" customFormat="1" ht="15" customHeight="1">
      <c r="A406" s="399" t="s">
        <v>481</v>
      </c>
      <c r="B406" s="399"/>
      <c r="C406" s="399"/>
      <c r="D406" s="399"/>
      <c r="E406" s="399"/>
      <c r="F406" s="399"/>
      <c r="G406" s="399"/>
      <c r="H406" s="399"/>
      <c r="I406" s="399"/>
      <c r="J406" s="399"/>
      <c r="K406" s="399"/>
      <c r="L406" s="399"/>
      <c r="M406" s="399"/>
    </row>
    <row r="407" spans="1:13" s="81" customFormat="1" ht="15" customHeight="1">
      <c r="A407" s="241"/>
      <c r="B407" s="241"/>
      <c r="C407" s="241"/>
      <c r="D407" s="241"/>
      <c r="E407" s="241"/>
      <c r="F407" s="241"/>
      <c r="G407" s="241"/>
      <c r="H407" s="241"/>
      <c r="I407" s="241"/>
      <c r="J407" s="241"/>
      <c r="K407" s="241"/>
      <c r="L407" s="241"/>
      <c r="M407" s="241"/>
    </row>
    <row r="408" spans="1:13" s="81" customFormat="1" ht="15" customHeight="1">
      <c r="A408" s="238" t="s">
        <v>482</v>
      </c>
      <c r="B408" s="238"/>
      <c r="C408" s="238"/>
      <c r="D408" s="239"/>
      <c r="E408" s="239"/>
      <c r="F408" s="238" t="s">
        <v>483</v>
      </c>
      <c r="G408" s="238"/>
      <c r="H408" s="238"/>
      <c r="I408" s="238"/>
      <c r="J408" s="238" t="s">
        <v>484</v>
      </c>
      <c r="K408" s="238" t="str">
        <f>$K$9</f>
        <v>2025</v>
      </c>
      <c r="L408" s="238"/>
      <c r="M408" s="238"/>
    </row>
    <row r="409" spans="1:13" s="81" customFormat="1" ht="15" customHeight="1">
      <c r="A409" s="238" t="s">
        <v>485</v>
      </c>
      <c r="B409" s="238"/>
      <c r="C409" s="238"/>
      <c r="D409" s="239"/>
      <c r="E409" s="238"/>
      <c r="F409" s="238" t="s">
        <v>486</v>
      </c>
      <c r="G409" s="238"/>
      <c r="H409" s="238"/>
      <c r="I409" s="238"/>
      <c r="J409" s="238" t="s">
        <v>487</v>
      </c>
      <c r="K409" s="94" t="s">
        <v>507</v>
      </c>
      <c r="L409" s="238"/>
      <c r="M409" s="238"/>
    </row>
    <row r="410" spans="1:13" s="81" customFormat="1" ht="15" customHeight="1">
      <c r="A410" s="238" t="s">
        <v>489</v>
      </c>
      <c r="B410" s="238"/>
      <c r="C410" s="238"/>
      <c r="D410" s="238"/>
      <c r="E410" s="238"/>
      <c r="F410" s="238"/>
      <c r="G410" s="238"/>
      <c r="H410" s="238"/>
      <c r="I410" s="238"/>
      <c r="J410" s="238"/>
      <c r="K410" s="238"/>
      <c r="L410" s="238"/>
      <c r="M410" s="238"/>
    </row>
    <row r="411" spans="1:13" s="81" customFormat="1" ht="15" customHeight="1">
      <c r="A411" s="82"/>
      <c r="B411" s="82"/>
      <c r="C411" s="82"/>
      <c r="D411" s="82"/>
      <c r="E411" s="82"/>
      <c r="F411" s="82"/>
      <c r="G411" s="82"/>
      <c r="H411" s="82"/>
      <c r="I411" s="82"/>
      <c r="J411" s="82"/>
      <c r="K411" s="82"/>
      <c r="L411" s="82"/>
      <c r="M411" s="82"/>
    </row>
    <row r="412" spans="1:13" ht="18" customHeight="1" thickBot="1">
      <c r="A412" s="403"/>
      <c r="B412" s="403"/>
      <c r="C412" s="403"/>
      <c r="D412" s="403"/>
      <c r="E412" s="403"/>
      <c r="F412" s="403"/>
      <c r="G412" s="403"/>
      <c r="H412" s="403"/>
      <c r="I412" s="403"/>
      <c r="J412" s="403"/>
      <c r="K412" s="403"/>
      <c r="L412" s="403"/>
      <c r="M412" s="403"/>
    </row>
    <row r="413" spans="1:13" ht="18" customHeight="1">
      <c r="A413" s="192"/>
      <c r="B413" s="193"/>
      <c r="C413" s="193"/>
      <c r="D413" s="193"/>
      <c r="E413" s="193"/>
      <c r="F413" s="194"/>
      <c r="G413" s="195"/>
      <c r="H413" s="196"/>
      <c r="I413" s="196" t="s">
        <v>3</v>
      </c>
      <c r="J413" s="394" t="s">
        <v>188</v>
      </c>
      <c r="K413" s="395"/>
      <c r="L413" s="396"/>
      <c r="M413" s="197" t="s">
        <v>4</v>
      </c>
    </row>
    <row r="414" spans="1:13" ht="18" customHeight="1">
      <c r="A414" s="388"/>
      <c r="B414" s="389"/>
      <c r="C414" s="389"/>
      <c r="D414" s="389"/>
      <c r="E414" s="389"/>
      <c r="F414" s="390"/>
      <c r="G414" s="199"/>
      <c r="H414" s="200"/>
      <c r="I414" s="200">
        <v>2023</v>
      </c>
      <c r="J414" s="200" t="s">
        <v>137</v>
      </c>
      <c r="K414" s="200" t="s">
        <v>138</v>
      </c>
      <c r="L414" s="200">
        <v>2024</v>
      </c>
      <c r="M414" s="201">
        <v>2025</v>
      </c>
    </row>
    <row r="415" spans="1:13" ht="18" customHeight="1">
      <c r="A415" s="388" t="s">
        <v>8</v>
      </c>
      <c r="B415" s="389"/>
      <c r="C415" s="389"/>
      <c r="D415" s="389"/>
      <c r="E415" s="389"/>
      <c r="F415" s="390"/>
      <c r="G415" s="202"/>
      <c r="H415" s="203" t="s">
        <v>186</v>
      </c>
      <c r="I415" s="200" t="s">
        <v>311</v>
      </c>
      <c r="J415" s="200" t="s">
        <v>136</v>
      </c>
      <c r="K415" s="200" t="s">
        <v>139</v>
      </c>
      <c r="L415" s="200" t="s">
        <v>311</v>
      </c>
      <c r="M415" s="201" t="s">
        <v>311</v>
      </c>
    </row>
    <row r="416" spans="1:13" ht="18" customHeight="1">
      <c r="A416" s="204"/>
      <c r="B416" s="99"/>
      <c r="C416" s="99"/>
      <c r="D416" s="99"/>
      <c r="E416" s="99"/>
      <c r="F416" s="205"/>
      <c r="G416" s="202"/>
      <c r="H416" s="200"/>
      <c r="I416" s="200" t="s">
        <v>136</v>
      </c>
      <c r="J416" s="200">
        <v>2024</v>
      </c>
      <c r="K416" s="200">
        <v>2024</v>
      </c>
      <c r="L416" s="200" t="s">
        <v>312</v>
      </c>
      <c r="M416" s="201" t="s">
        <v>140</v>
      </c>
    </row>
    <row r="417" spans="1:13" ht="18" customHeight="1" thickBot="1">
      <c r="A417" s="391"/>
      <c r="B417" s="392"/>
      <c r="C417" s="392"/>
      <c r="D417" s="392"/>
      <c r="E417" s="392"/>
      <c r="F417" s="393"/>
      <c r="G417" s="206"/>
      <c r="H417" s="207"/>
      <c r="I417" s="207"/>
      <c r="J417" s="207"/>
      <c r="K417" s="207"/>
      <c r="L417" s="207"/>
      <c r="M417" s="208"/>
    </row>
    <row r="418" spans="1:13" ht="18" customHeight="1">
      <c r="A418" s="209"/>
      <c r="B418" s="210" t="s">
        <v>51</v>
      </c>
      <c r="C418" s="211"/>
      <c r="D418" s="210"/>
      <c r="E418" s="210"/>
      <c r="F418" s="212"/>
      <c r="G418" s="213"/>
      <c r="H418" s="225"/>
      <c r="I418" s="226"/>
      <c r="J418" s="62"/>
      <c r="K418" s="62"/>
      <c r="L418" s="62"/>
      <c r="M418" s="62"/>
    </row>
    <row r="419" spans="1:13" s="97" customFormat="1" ht="18" customHeight="1">
      <c r="A419" s="133"/>
      <c r="B419" s="127"/>
      <c r="C419" s="127" t="s">
        <v>102</v>
      </c>
      <c r="D419" s="127"/>
      <c r="E419" s="127"/>
      <c r="F419" s="128"/>
      <c r="G419" s="129"/>
      <c r="H419" s="167"/>
      <c r="I419" s="168"/>
      <c r="J419" s="63"/>
      <c r="K419" s="63"/>
      <c r="L419" s="63"/>
      <c r="M419" s="63"/>
    </row>
    <row r="420" spans="1:13" s="97" customFormat="1" ht="18" customHeight="1">
      <c r="A420" s="133"/>
      <c r="B420" s="127"/>
      <c r="C420" s="127"/>
      <c r="D420" s="127" t="s">
        <v>103</v>
      </c>
      <c r="E420" s="127"/>
      <c r="F420" s="128"/>
      <c r="G420" s="129" t="s">
        <v>156</v>
      </c>
      <c r="H420" s="130" t="s">
        <v>196</v>
      </c>
      <c r="I420" s="135">
        <v>1511688</v>
      </c>
      <c r="J420" s="39">
        <v>782682.37</v>
      </c>
      <c r="K420" s="39">
        <f>1753566-J420</f>
        <v>970883.63</v>
      </c>
      <c r="L420" s="39">
        <f>SUM(K420+J420)</f>
        <v>1753566</v>
      </c>
      <c r="M420" s="39">
        <v>2230752</v>
      </c>
    </row>
    <row r="421" spans="1:13" s="97" customFormat="1" ht="18" customHeight="1">
      <c r="A421" s="133"/>
      <c r="B421" s="127"/>
      <c r="C421" s="127" t="s">
        <v>104</v>
      </c>
      <c r="D421" s="127"/>
      <c r="E421" s="127"/>
      <c r="F421" s="128"/>
      <c r="G421" s="129"/>
      <c r="H421" s="167"/>
      <c r="I421" s="135"/>
      <c r="J421" s="39"/>
      <c r="K421" s="39"/>
      <c r="L421" s="39"/>
      <c r="M421" s="39"/>
    </row>
    <row r="422" spans="1:13" s="97" customFormat="1" ht="18" customHeight="1">
      <c r="A422" s="133"/>
      <c r="B422" s="127"/>
      <c r="C422" s="127"/>
      <c r="D422" s="127" t="s">
        <v>105</v>
      </c>
      <c r="E422" s="127"/>
      <c r="F422" s="128"/>
      <c r="G422" s="129" t="s">
        <v>157</v>
      </c>
      <c r="H422" s="130" t="s">
        <v>197</v>
      </c>
      <c r="I422" s="135">
        <v>72000</v>
      </c>
      <c r="J422" s="39">
        <v>36000</v>
      </c>
      <c r="K422" s="39">
        <f>96000-J422</f>
        <v>60000</v>
      </c>
      <c r="L422" s="39">
        <f t="shared" ref="L422:L440" si="27">SUM(K422+J422)</f>
        <v>96000</v>
      </c>
      <c r="M422" s="39">
        <v>96000</v>
      </c>
    </row>
    <row r="423" spans="1:13" s="97" customFormat="1" ht="18" customHeight="1">
      <c r="A423" s="133"/>
      <c r="B423" s="127"/>
      <c r="C423" s="127"/>
      <c r="D423" s="127" t="s">
        <v>107</v>
      </c>
      <c r="E423" s="127"/>
      <c r="F423" s="128"/>
      <c r="G423" s="129" t="s">
        <v>158</v>
      </c>
      <c r="H423" s="130" t="s">
        <v>198</v>
      </c>
      <c r="I423" s="135">
        <v>76500</v>
      </c>
      <c r="J423" s="39">
        <v>43350</v>
      </c>
      <c r="K423" s="39">
        <f>86700-J423</f>
        <v>43350</v>
      </c>
      <c r="L423" s="39">
        <f t="shared" si="27"/>
        <v>86700</v>
      </c>
      <c r="M423" s="39">
        <v>86700</v>
      </c>
    </row>
    <row r="424" spans="1:13" s="97" customFormat="1" ht="18" customHeight="1">
      <c r="A424" s="133"/>
      <c r="B424" s="127"/>
      <c r="C424" s="127"/>
      <c r="D424" s="127" t="s">
        <v>106</v>
      </c>
      <c r="E424" s="127"/>
      <c r="F424" s="128"/>
      <c r="G424" s="129" t="s">
        <v>159</v>
      </c>
      <c r="H424" s="130" t="s">
        <v>199</v>
      </c>
      <c r="I424" s="135">
        <v>76500</v>
      </c>
      <c r="J424" s="39">
        <v>43350</v>
      </c>
      <c r="K424" s="39">
        <f>86700-J424</f>
        <v>43350</v>
      </c>
      <c r="L424" s="39">
        <f t="shared" si="27"/>
        <v>86700</v>
      </c>
      <c r="M424" s="39">
        <v>86700</v>
      </c>
    </row>
    <row r="425" spans="1:13" s="97" customFormat="1" ht="18" customHeight="1">
      <c r="A425" s="133"/>
      <c r="B425" s="127"/>
      <c r="C425" s="127"/>
      <c r="D425" s="127" t="s">
        <v>108</v>
      </c>
      <c r="E425" s="127"/>
      <c r="F425" s="128"/>
      <c r="G425" s="129" t="s">
        <v>160</v>
      </c>
      <c r="H425" s="130" t="s">
        <v>200</v>
      </c>
      <c r="I425" s="135">
        <v>18000</v>
      </c>
      <c r="J425" s="39">
        <v>21000</v>
      </c>
      <c r="K425" s="39">
        <f>28000-J425</f>
        <v>7000</v>
      </c>
      <c r="L425" s="39">
        <f t="shared" si="27"/>
        <v>28000</v>
      </c>
      <c r="M425" s="39">
        <v>28000</v>
      </c>
    </row>
    <row r="426" spans="1:13" s="97" customFormat="1" ht="18" customHeight="1">
      <c r="A426" s="133"/>
      <c r="B426" s="127"/>
      <c r="C426" s="127"/>
      <c r="D426" s="127" t="s">
        <v>194</v>
      </c>
      <c r="E426" s="127"/>
      <c r="F426" s="128"/>
      <c r="G426" s="129" t="s">
        <v>162</v>
      </c>
      <c r="H426" s="130" t="s">
        <v>201</v>
      </c>
      <c r="I426" s="135">
        <v>15000</v>
      </c>
      <c r="J426" s="39"/>
      <c r="K426" s="39">
        <f>20000-J426</f>
        <v>20000</v>
      </c>
      <c r="L426" s="39">
        <f t="shared" si="27"/>
        <v>20000</v>
      </c>
      <c r="M426" s="39">
        <v>20000</v>
      </c>
    </row>
    <row r="427" spans="1:13" s="97" customFormat="1" ht="18" customHeight="1">
      <c r="A427" s="133"/>
      <c r="B427" s="127"/>
      <c r="C427" s="127"/>
      <c r="D427" s="127" t="s">
        <v>110</v>
      </c>
      <c r="E427" s="127"/>
      <c r="F427" s="128"/>
      <c r="G427" s="129" t="s">
        <v>92</v>
      </c>
      <c r="H427" s="130" t="s">
        <v>202</v>
      </c>
      <c r="I427" s="135"/>
      <c r="J427" s="39"/>
      <c r="K427" s="39">
        <f>10000-J427</f>
        <v>10000</v>
      </c>
      <c r="L427" s="39">
        <f t="shared" si="27"/>
        <v>10000</v>
      </c>
      <c r="M427" s="39">
        <v>5000</v>
      </c>
    </row>
    <row r="428" spans="1:13" s="97" customFormat="1" ht="18" customHeight="1">
      <c r="A428" s="133"/>
      <c r="B428" s="127"/>
      <c r="C428" s="127"/>
      <c r="D428" s="127" t="s">
        <v>354</v>
      </c>
      <c r="E428" s="127"/>
      <c r="F428" s="128"/>
      <c r="G428" s="129" t="s">
        <v>92</v>
      </c>
      <c r="H428" s="130" t="s">
        <v>202</v>
      </c>
      <c r="I428" s="135"/>
      <c r="J428" s="39"/>
      <c r="K428" s="39">
        <f>0-J428</f>
        <v>0</v>
      </c>
      <c r="L428" s="39">
        <f t="shared" si="27"/>
        <v>0</v>
      </c>
      <c r="M428" s="39">
        <v>0</v>
      </c>
    </row>
    <row r="429" spans="1:13" s="97" customFormat="1" ht="18" customHeight="1">
      <c r="A429" s="133"/>
      <c r="B429" s="127"/>
      <c r="C429" s="127"/>
      <c r="D429" s="127" t="s">
        <v>421</v>
      </c>
      <c r="E429" s="127"/>
      <c r="F429" s="128"/>
      <c r="G429" s="129"/>
      <c r="H429" s="130" t="s">
        <v>202</v>
      </c>
      <c r="I429" s="135"/>
      <c r="J429" s="39"/>
      <c r="K429" s="39">
        <v>0</v>
      </c>
      <c r="L429" s="39">
        <f t="shared" si="27"/>
        <v>0</v>
      </c>
      <c r="M429" s="39">
        <v>28000</v>
      </c>
    </row>
    <row r="430" spans="1:13" s="97" customFormat="1" ht="18" customHeight="1">
      <c r="A430" s="133"/>
      <c r="B430" s="127"/>
      <c r="C430" s="127"/>
      <c r="D430" s="127" t="s">
        <v>52</v>
      </c>
      <c r="E430" s="127"/>
      <c r="F430" s="128"/>
      <c r="G430" s="129" t="s">
        <v>164</v>
      </c>
      <c r="H430" s="130" t="s">
        <v>219</v>
      </c>
      <c r="I430" s="135">
        <v>24096.9</v>
      </c>
      <c r="J430" s="39"/>
      <c r="K430" s="39">
        <f>66000-J430</f>
        <v>66000</v>
      </c>
      <c r="L430" s="39">
        <f t="shared" si="27"/>
        <v>66000</v>
      </c>
      <c r="M430" s="39">
        <v>25000</v>
      </c>
    </row>
    <row r="431" spans="1:13" s="97" customFormat="1" ht="18" customHeight="1">
      <c r="A431" s="133"/>
      <c r="B431" s="127"/>
      <c r="C431" s="127"/>
      <c r="D431" s="127" t="s">
        <v>112</v>
      </c>
      <c r="E431" s="127"/>
      <c r="F431" s="128"/>
      <c r="G431" s="129" t="s">
        <v>165</v>
      </c>
      <c r="H431" s="130" t="s">
        <v>203</v>
      </c>
      <c r="I431" s="135">
        <v>15000</v>
      </c>
      <c r="J431" s="39"/>
      <c r="K431" s="39">
        <f>20000-J431</f>
        <v>20000</v>
      </c>
      <c r="L431" s="39">
        <f t="shared" si="27"/>
        <v>20000</v>
      </c>
      <c r="M431" s="39">
        <v>20000</v>
      </c>
    </row>
    <row r="432" spans="1:13" s="97" customFormat="1" ht="18" customHeight="1">
      <c r="A432" s="133"/>
      <c r="B432" s="127"/>
      <c r="C432" s="127"/>
      <c r="D432" s="127" t="s">
        <v>252</v>
      </c>
      <c r="E432" s="127"/>
      <c r="F432" s="127"/>
      <c r="G432" s="138" t="s">
        <v>92</v>
      </c>
      <c r="H432" s="130" t="s">
        <v>202</v>
      </c>
      <c r="I432" s="135">
        <v>125974</v>
      </c>
      <c r="J432" s="39">
        <v>142406</v>
      </c>
      <c r="K432" s="39">
        <f>165843-J432</f>
        <v>23437</v>
      </c>
      <c r="L432" s="39">
        <f t="shared" si="27"/>
        <v>165843</v>
      </c>
      <c r="M432" s="39">
        <v>183263</v>
      </c>
    </row>
    <row r="433" spans="1:13" s="97" customFormat="1" ht="18" customHeight="1">
      <c r="A433" s="133"/>
      <c r="B433" s="127"/>
      <c r="C433" s="127"/>
      <c r="D433" s="127" t="s">
        <v>113</v>
      </c>
      <c r="E433" s="127"/>
      <c r="F433" s="128"/>
      <c r="G433" s="129" t="s">
        <v>166</v>
      </c>
      <c r="H433" s="130" t="s">
        <v>204</v>
      </c>
      <c r="I433" s="135">
        <v>125974</v>
      </c>
      <c r="J433" s="39">
        <v>0</v>
      </c>
      <c r="K433" s="39">
        <f>173568-J433</f>
        <v>173568</v>
      </c>
      <c r="L433" s="39">
        <f t="shared" si="27"/>
        <v>173568</v>
      </c>
      <c r="M433" s="39">
        <v>191162</v>
      </c>
    </row>
    <row r="434" spans="1:13" s="97" customFormat="1" ht="18" customHeight="1">
      <c r="A434" s="133"/>
      <c r="B434" s="127"/>
      <c r="C434" s="127"/>
      <c r="D434" s="127" t="s">
        <v>190</v>
      </c>
      <c r="E434" s="127"/>
      <c r="F434" s="128"/>
      <c r="G434" s="129" t="s">
        <v>167</v>
      </c>
      <c r="H434" s="130" t="s">
        <v>205</v>
      </c>
      <c r="I434" s="135">
        <f>180227.28+1175.28</f>
        <v>181402.56</v>
      </c>
      <c r="J434" s="39">
        <v>76873.5</v>
      </c>
      <c r="K434" s="39">
        <f>245384-J434</f>
        <v>168510.5</v>
      </c>
      <c r="L434" s="39">
        <f t="shared" si="27"/>
        <v>245384</v>
      </c>
      <c r="M434" s="39">
        <v>268000</v>
      </c>
    </row>
    <row r="435" spans="1:13" s="97" customFormat="1" ht="18" customHeight="1">
      <c r="A435" s="133"/>
      <c r="B435" s="127"/>
      <c r="C435" s="127"/>
      <c r="D435" s="127" t="s">
        <v>114</v>
      </c>
      <c r="E435" s="127"/>
      <c r="F435" s="128"/>
      <c r="G435" s="129" t="s">
        <v>168</v>
      </c>
      <c r="H435" s="130" t="s">
        <v>206</v>
      </c>
      <c r="I435" s="135">
        <f>3300+300</f>
        <v>3600</v>
      </c>
      <c r="J435" s="39">
        <v>2700</v>
      </c>
      <c r="K435" s="39">
        <f>9600-J435</f>
        <v>6900</v>
      </c>
      <c r="L435" s="39">
        <f t="shared" si="27"/>
        <v>9600</v>
      </c>
      <c r="M435" s="39">
        <v>9600</v>
      </c>
    </row>
    <row r="436" spans="1:13" s="97" customFormat="1" ht="18" customHeight="1">
      <c r="A436" s="133"/>
      <c r="B436" s="127"/>
      <c r="C436" s="127"/>
      <c r="D436" s="127" t="s">
        <v>115</v>
      </c>
      <c r="E436" s="127"/>
      <c r="F436" s="128"/>
      <c r="G436" s="129" t="s">
        <v>169</v>
      </c>
      <c r="H436" s="130" t="s">
        <v>207</v>
      </c>
      <c r="I436" s="135">
        <v>28578.7</v>
      </c>
      <c r="J436" s="39">
        <v>16172.87</v>
      </c>
      <c r="K436" s="39">
        <f>50900-J436</f>
        <v>34727.129999999997</v>
      </c>
      <c r="L436" s="39">
        <f t="shared" si="27"/>
        <v>50900</v>
      </c>
      <c r="M436" s="39">
        <v>56000</v>
      </c>
    </row>
    <row r="437" spans="1:13" s="97" customFormat="1" ht="18" customHeight="1">
      <c r="A437" s="133"/>
      <c r="B437" s="127"/>
      <c r="C437" s="127"/>
      <c r="D437" s="127" t="s">
        <v>189</v>
      </c>
      <c r="E437" s="127"/>
      <c r="F437" s="128"/>
      <c r="G437" s="129" t="s">
        <v>170</v>
      </c>
      <c r="H437" s="130" t="s">
        <v>208</v>
      </c>
      <c r="I437" s="135">
        <v>3600</v>
      </c>
      <c r="J437" s="39">
        <v>1500</v>
      </c>
      <c r="K437" s="39">
        <f>4800-J437</f>
        <v>3300</v>
      </c>
      <c r="L437" s="39">
        <f t="shared" si="27"/>
        <v>4800</v>
      </c>
      <c r="M437" s="39">
        <v>4800</v>
      </c>
    </row>
    <row r="438" spans="1:13" s="97" customFormat="1" ht="18" customHeight="1">
      <c r="A438" s="133"/>
      <c r="B438" s="127"/>
      <c r="C438" s="127"/>
      <c r="D438" s="127" t="s">
        <v>117</v>
      </c>
      <c r="E438" s="127"/>
      <c r="F438" s="128"/>
      <c r="G438" s="129" t="s">
        <v>67</v>
      </c>
      <c r="H438" s="130" t="s">
        <v>220</v>
      </c>
      <c r="I438" s="135"/>
      <c r="J438" s="39">
        <v>94937.88</v>
      </c>
      <c r="K438" s="39">
        <f>266401.32-J438</f>
        <v>171463.44</v>
      </c>
      <c r="L438" s="39">
        <f t="shared" si="27"/>
        <v>266401.32</v>
      </c>
      <c r="M438" s="39">
        <v>0</v>
      </c>
    </row>
    <row r="439" spans="1:13" s="45" customFormat="1" ht="18" customHeight="1">
      <c r="A439" s="133"/>
      <c r="B439" s="127"/>
      <c r="C439" s="127"/>
      <c r="D439" s="127" t="s">
        <v>343</v>
      </c>
      <c r="E439" s="127"/>
      <c r="F439" s="128"/>
      <c r="G439" s="129"/>
      <c r="H439" s="130" t="s">
        <v>220</v>
      </c>
      <c r="I439" s="135">
        <v>60000</v>
      </c>
      <c r="J439" s="39"/>
      <c r="K439" s="39">
        <f>60000-J439</f>
        <v>60000</v>
      </c>
      <c r="L439" s="39">
        <f t="shared" si="27"/>
        <v>60000</v>
      </c>
      <c r="M439" s="39">
        <v>0</v>
      </c>
    </row>
    <row r="440" spans="1:13" ht="18" customHeight="1">
      <c r="A440" s="133"/>
      <c r="B440" s="127"/>
      <c r="C440" s="127"/>
      <c r="D440" s="191" t="s">
        <v>423</v>
      </c>
      <c r="E440" s="127"/>
      <c r="F440" s="128"/>
      <c r="G440" s="129"/>
      <c r="H440" s="130" t="s">
        <v>220</v>
      </c>
      <c r="I440" s="135">
        <v>90000</v>
      </c>
      <c r="J440" s="39"/>
      <c r="K440" s="39">
        <f>90000-J440</f>
        <v>90000</v>
      </c>
      <c r="L440" s="39">
        <f t="shared" si="27"/>
        <v>90000</v>
      </c>
      <c r="M440" s="39">
        <v>0</v>
      </c>
    </row>
    <row r="441" spans="1:13" s="97" customFormat="1" ht="18" customHeight="1">
      <c r="A441" s="139"/>
      <c r="B441" s="140"/>
      <c r="C441" s="140"/>
      <c r="D441" s="140" t="s">
        <v>53</v>
      </c>
      <c r="E441" s="140"/>
      <c r="F441" s="141"/>
      <c r="G441" s="142"/>
      <c r="H441" s="169"/>
      <c r="I441" s="143">
        <f>SUM(I420:I440)</f>
        <v>2427914.16</v>
      </c>
      <c r="J441" s="143">
        <f t="shared" ref="J441:M441" si="28">SUM(J420:J440)</f>
        <v>1260972.6200000001</v>
      </c>
      <c r="K441" s="143">
        <f t="shared" si="28"/>
        <v>1972489.6999999997</v>
      </c>
      <c r="L441" s="143">
        <f t="shared" si="28"/>
        <v>3233462.32</v>
      </c>
      <c r="M441" s="143">
        <f t="shared" si="28"/>
        <v>3338977</v>
      </c>
    </row>
    <row r="442" spans="1:13" s="97" customFormat="1" ht="18" customHeight="1">
      <c r="A442" s="133"/>
      <c r="B442" s="127" t="s">
        <v>118</v>
      </c>
      <c r="C442" s="127"/>
      <c r="D442" s="127"/>
      <c r="E442" s="127"/>
      <c r="F442" s="128"/>
      <c r="G442" s="129"/>
      <c r="H442" s="167"/>
      <c r="I442" s="135"/>
      <c r="J442" s="39"/>
      <c r="K442" s="39"/>
      <c r="L442" s="39"/>
      <c r="M442" s="39"/>
    </row>
    <row r="443" spans="1:13" s="97" customFormat="1" ht="18" customHeight="1">
      <c r="A443" s="133"/>
      <c r="B443" s="127"/>
      <c r="C443" s="127"/>
      <c r="D443" s="127" t="s">
        <v>119</v>
      </c>
      <c r="E443" s="127"/>
      <c r="F443" s="128"/>
      <c r="G443" s="129" t="s">
        <v>60</v>
      </c>
      <c r="H443" s="130" t="s">
        <v>210</v>
      </c>
      <c r="I443" s="135">
        <v>64850</v>
      </c>
      <c r="J443" s="39">
        <v>63973</v>
      </c>
      <c r="K443" s="39">
        <f>83963-J443</f>
        <v>19990</v>
      </c>
      <c r="L443" s="39">
        <f t="shared" ref="L443:L448" si="29">SUM(K443+J443)</f>
        <v>83963</v>
      </c>
      <c r="M443" s="39">
        <v>150000</v>
      </c>
    </row>
    <row r="444" spans="1:13" s="97" customFormat="1" ht="18" customHeight="1">
      <c r="A444" s="133"/>
      <c r="B444" s="127"/>
      <c r="C444" s="127"/>
      <c r="D444" s="127" t="s">
        <v>91</v>
      </c>
      <c r="E444" s="127"/>
      <c r="F444" s="128"/>
      <c r="G444" s="129" t="s">
        <v>61</v>
      </c>
      <c r="H444" s="130" t="s">
        <v>211</v>
      </c>
      <c r="I444" s="135">
        <v>59400.79</v>
      </c>
      <c r="J444" s="39">
        <v>42266.239999999998</v>
      </c>
      <c r="K444" s="39">
        <f>88000-J444</f>
        <v>45733.760000000002</v>
      </c>
      <c r="L444" s="39">
        <f t="shared" si="29"/>
        <v>88000</v>
      </c>
      <c r="M444" s="39">
        <v>150000</v>
      </c>
    </row>
    <row r="445" spans="1:13" s="97" customFormat="1" ht="18" customHeight="1">
      <c r="A445" s="133"/>
      <c r="B445" s="127"/>
      <c r="C445" s="127"/>
      <c r="D445" s="127" t="s">
        <v>58</v>
      </c>
      <c r="E445" s="127"/>
      <c r="F445" s="128"/>
      <c r="G445" s="129" t="s">
        <v>63</v>
      </c>
      <c r="H445" s="130" t="s">
        <v>212</v>
      </c>
      <c r="I445" s="135">
        <v>58409.1</v>
      </c>
      <c r="J445" s="39">
        <v>863.3</v>
      </c>
      <c r="K445" s="39">
        <f>80742.67-J445</f>
        <v>79879.37</v>
      </c>
      <c r="L445" s="39">
        <f t="shared" si="29"/>
        <v>80742.67</v>
      </c>
      <c r="M445" s="39">
        <v>100000</v>
      </c>
    </row>
    <row r="446" spans="1:13" s="97" customFormat="1" ht="18" customHeight="1">
      <c r="A446" s="133"/>
      <c r="B446" s="127"/>
      <c r="C446" s="127"/>
      <c r="D446" s="127" t="s">
        <v>125</v>
      </c>
      <c r="E446" s="127"/>
      <c r="F446" s="128"/>
      <c r="G446" s="129" t="s">
        <v>64</v>
      </c>
      <c r="H446" s="130" t="s">
        <v>214</v>
      </c>
      <c r="I446" s="135">
        <v>48000</v>
      </c>
      <c r="J446" s="39">
        <v>24000</v>
      </c>
      <c r="K446" s="39">
        <f>48000-J446</f>
        <v>24000</v>
      </c>
      <c r="L446" s="39">
        <f t="shared" si="29"/>
        <v>48000</v>
      </c>
      <c r="M446" s="39">
        <v>36000</v>
      </c>
    </row>
    <row r="447" spans="1:13" s="45" customFormat="1" ht="18" customHeight="1">
      <c r="A447" s="133"/>
      <c r="B447" s="127"/>
      <c r="C447" s="127"/>
      <c r="D447" s="127" t="s">
        <v>304</v>
      </c>
      <c r="E447" s="127"/>
      <c r="F447" s="128"/>
      <c r="G447" s="129" t="s">
        <v>65</v>
      </c>
      <c r="H447" s="130" t="s">
        <v>215</v>
      </c>
      <c r="I447" s="135">
        <v>1180</v>
      </c>
      <c r="J447" s="39">
        <v>4928</v>
      </c>
      <c r="K447" s="39">
        <f>5428-J447</f>
        <v>500</v>
      </c>
      <c r="L447" s="39">
        <f t="shared" si="29"/>
        <v>5428</v>
      </c>
      <c r="M447" s="39">
        <v>10000</v>
      </c>
    </row>
    <row r="448" spans="1:13" ht="18" customHeight="1">
      <c r="A448" s="133"/>
      <c r="B448" s="127"/>
      <c r="C448" s="127"/>
      <c r="D448" s="127" t="s">
        <v>366</v>
      </c>
      <c r="E448" s="127"/>
      <c r="F448" s="128"/>
      <c r="G448" s="129"/>
      <c r="H448" s="130" t="s">
        <v>216</v>
      </c>
      <c r="I448" s="135"/>
      <c r="J448" s="39"/>
      <c r="K448" s="39">
        <f>0-J448</f>
        <v>0</v>
      </c>
      <c r="L448" s="39">
        <f t="shared" si="29"/>
        <v>0</v>
      </c>
      <c r="M448" s="39">
        <v>0</v>
      </c>
    </row>
    <row r="449" spans="1:13" ht="18" customHeight="1">
      <c r="A449" s="139"/>
      <c r="B449" s="140"/>
      <c r="C449" s="140"/>
      <c r="D449" s="140" t="s">
        <v>244</v>
      </c>
      <c r="E449" s="140"/>
      <c r="F449" s="141"/>
      <c r="G449" s="142"/>
      <c r="H449" s="169"/>
      <c r="I449" s="143">
        <f>SUM(I443:I448)</f>
        <v>231839.89</v>
      </c>
      <c r="J449" s="143">
        <f>SUM(J443:J448)</f>
        <v>136030.53999999998</v>
      </c>
      <c r="K449" s="143">
        <f>SUM(K443:K448)</f>
        <v>170103.13</v>
      </c>
      <c r="L449" s="143">
        <f>SUM(L443:L448)</f>
        <v>306133.67</v>
      </c>
      <c r="M449" s="143">
        <f>SUM(M443:M448)</f>
        <v>446000</v>
      </c>
    </row>
    <row r="450" spans="1:13" ht="18" customHeight="1">
      <c r="A450" s="133"/>
      <c r="B450" s="127" t="s">
        <v>132</v>
      </c>
      <c r="C450" s="127"/>
      <c r="D450" s="127"/>
      <c r="E450" s="127"/>
      <c r="F450" s="128"/>
      <c r="G450" s="129"/>
      <c r="H450" s="167"/>
      <c r="I450" s="135"/>
      <c r="J450" s="39"/>
      <c r="K450" s="39"/>
      <c r="L450" s="39"/>
      <c r="M450" s="39"/>
    </row>
    <row r="451" spans="1:13" s="97" customFormat="1" ht="18" customHeight="1">
      <c r="A451" s="133"/>
      <c r="B451" s="127"/>
      <c r="C451" s="127"/>
      <c r="D451" s="127" t="s">
        <v>195</v>
      </c>
      <c r="E451" s="127"/>
      <c r="F451" s="128"/>
      <c r="G451" s="129" t="s">
        <v>285</v>
      </c>
      <c r="H451" s="130" t="s">
        <v>286</v>
      </c>
      <c r="I451" s="135">
        <v>0</v>
      </c>
      <c r="J451" s="39">
        <v>0</v>
      </c>
      <c r="K451" s="39">
        <f>0-J451</f>
        <v>0</v>
      </c>
      <c r="L451" s="39">
        <f>SUM(K451+J451)</f>
        <v>0</v>
      </c>
      <c r="M451" s="39">
        <v>0</v>
      </c>
    </row>
    <row r="452" spans="1:13" s="45" customFormat="1" ht="18" customHeight="1">
      <c r="A452" s="133"/>
      <c r="B452" s="127"/>
      <c r="C452" s="127"/>
      <c r="D452" s="127" t="s">
        <v>301</v>
      </c>
      <c r="E452" s="127"/>
      <c r="F452" s="128"/>
      <c r="G452" s="129" t="s">
        <v>287</v>
      </c>
      <c r="H452" s="130" t="s">
        <v>348</v>
      </c>
      <c r="I452" s="135">
        <v>0</v>
      </c>
      <c r="J452" s="39">
        <v>0</v>
      </c>
      <c r="K452" s="39">
        <f t="shared" ref="K452:K453" si="30">0-J452</f>
        <v>0</v>
      </c>
      <c r="L452" s="39">
        <f>SUM(K452+J452)</f>
        <v>0</v>
      </c>
      <c r="M452" s="39">
        <v>0</v>
      </c>
    </row>
    <row r="453" spans="1:13" ht="18" customHeight="1">
      <c r="A453" s="133"/>
      <c r="B453" s="127"/>
      <c r="C453" s="127"/>
      <c r="D453" s="127" t="s">
        <v>292</v>
      </c>
      <c r="E453" s="127"/>
      <c r="F453" s="128"/>
      <c r="G453" s="129" t="s">
        <v>303</v>
      </c>
      <c r="H453" s="130" t="s">
        <v>293</v>
      </c>
      <c r="I453" s="135">
        <v>0</v>
      </c>
      <c r="J453" s="39">
        <v>0</v>
      </c>
      <c r="K453" s="39">
        <f t="shared" si="30"/>
        <v>0</v>
      </c>
      <c r="L453" s="39">
        <f>SUM(K453+J453)</f>
        <v>0</v>
      </c>
      <c r="M453" s="39">
        <v>0</v>
      </c>
    </row>
    <row r="454" spans="1:13" ht="18" customHeight="1">
      <c r="A454" s="139"/>
      <c r="B454" s="140"/>
      <c r="C454" s="140"/>
      <c r="D454" s="140" t="s">
        <v>245</v>
      </c>
      <c r="E454" s="140"/>
      <c r="F454" s="141"/>
      <c r="G454" s="129"/>
      <c r="H454" s="130"/>
      <c r="I454" s="143">
        <f>SUM(I451:I453)</f>
        <v>0</v>
      </c>
      <c r="J454" s="143">
        <f>SUM(J451:J453)</f>
        <v>0</v>
      </c>
      <c r="K454" s="143">
        <f>SUM(K451:K453)</f>
        <v>0</v>
      </c>
      <c r="L454" s="143">
        <f>SUM(L451:L453)</f>
        <v>0</v>
      </c>
      <c r="M454" s="143">
        <f>SUM(M451:M453)</f>
        <v>0</v>
      </c>
    </row>
    <row r="455" spans="1:13" ht="18" customHeight="1">
      <c r="A455" s="133"/>
      <c r="B455" s="127"/>
      <c r="C455" s="127"/>
      <c r="D455" s="140"/>
      <c r="E455" s="127"/>
      <c r="F455" s="128"/>
      <c r="G455" s="129"/>
      <c r="H455" s="167"/>
      <c r="I455" s="135"/>
      <c r="J455" s="39"/>
      <c r="K455" s="39"/>
      <c r="L455" s="39"/>
      <c r="M455" s="39"/>
    </row>
    <row r="456" spans="1:13" s="97" customFormat="1" ht="18" customHeight="1">
      <c r="A456" s="146" t="s">
        <v>187</v>
      </c>
      <c r="B456" s="148"/>
      <c r="C456" s="148"/>
      <c r="D456" s="148"/>
      <c r="E456" s="148"/>
      <c r="F456" s="149"/>
      <c r="G456" s="166"/>
      <c r="H456" s="170"/>
      <c r="I456" s="152">
        <f>SUM(I454+I449+I441)</f>
        <v>2659754.0500000003</v>
      </c>
      <c r="J456" s="152">
        <f>SUM(J454+J449+J441)</f>
        <v>1397003.1600000001</v>
      </c>
      <c r="K456" s="152">
        <f>SUM(K454+K449+K441)</f>
        <v>2142592.8299999996</v>
      </c>
      <c r="L456" s="152">
        <f>SUM(L454+L449+L441)</f>
        <v>3539595.9899999998</v>
      </c>
      <c r="M456" s="152">
        <f>SUM(M454+M449+M441)</f>
        <v>3784977</v>
      </c>
    </row>
    <row r="457" spans="1:13" s="97" customFormat="1" ht="18" customHeight="1">
      <c r="A457" s="98"/>
      <c r="B457" s="98"/>
      <c r="C457" s="98"/>
      <c r="D457" s="98"/>
      <c r="E457" s="98"/>
      <c r="F457" s="98"/>
      <c r="G457" s="98"/>
      <c r="H457" s="98"/>
      <c r="I457" s="98"/>
      <c r="J457" s="98"/>
      <c r="K457" s="98"/>
      <c r="L457" s="98"/>
      <c r="M457" s="98"/>
    </row>
    <row r="458" spans="1:13" s="97" customFormat="1" ht="18" customHeight="1">
      <c r="A458" s="241" t="s">
        <v>490</v>
      </c>
      <c r="B458" s="241"/>
      <c r="C458" s="241"/>
      <c r="D458" s="241"/>
      <c r="E458" s="241"/>
      <c r="F458" s="241"/>
      <c r="G458" s="241"/>
      <c r="H458" s="241"/>
      <c r="I458" s="241"/>
      <c r="J458" s="241"/>
      <c r="K458" s="241"/>
      <c r="L458" s="241"/>
      <c r="M458" s="241"/>
    </row>
    <row r="459" spans="1:13" s="97" customFormat="1" ht="18" customHeight="1">
      <c r="A459" s="93"/>
      <c r="B459" s="94"/>
      <c r="C459" s="93"/>
      <c r="D459" s="93"/>
      <c r="E459" s="93"/>
      <c r="F459" s="95"/>
      <c r="G459" s="93"/>
      <c r="H459" s="96"/>
      <c r="I459" s="96"/>
      <c r="J459" s="92"/>
      <c r="K459" s="61"/>
      <c r="L459" s="61"/>
      <c r="M459" s="55"/>
    </row>
    <row r="460" spans="1:13" s="97" customFormat="1" ht="18" customHeight="1">
      <c r="A460" s="242" t="s">
        <v>491</v>
      </c>
      <c r="B460" s="242"/>
      <c r="C460" s="92"/>
      <c r="D460" s="242"/>
      <c r="E460" s="242"/>
      <c r="F460" s="92"/>
      <c r="G460" s="242"/>
      <c r="H460" s="242"/>
      <c r="I460" s="242" t="s">
        <v>492</v>
      </c>
      <c r="J460" s="242"/>
      <c r="K460" s="242"/>
      <c r="L460" s="242" t="s">
        <v>493</v>
      </c>
      <c r="M460" s="242"/>
    </row>
    <row r="461" spans="1:13" s="97" customFormat="1" ht="18" customHeight="1">
      <c r="A461" s="93"/>
      <c r="B461" s="94"/>
      <c r="C461" s="92"/>
      <c r="D461" s="93"/>
      <c r="E461" s="93"/>
      <c r="F461" s="92"/>
      <c r="G461" s="93"/>
      <c r="H461" s="92"/>
      <c r="I461" s="93"/>
      <c r="J461" s="96"/>
      <c r="K461" s="60"/>
      <c r="L461" s="95"/>
      <c r="M461" s="61"/>
    </row>
    <row r="462" spans="1:13" s="97" customFormat="1" ht="18" customHeight="1">
      <c r="A462" s="404" t="s">
        <v>494</v>
      </c>
      <c r="B462" s="404"/>
      <c r="C462" s="404"/>
      <c r="D462" s="404"/>
      <c r="E462" s="404"/>
      <c r="F462" s="404"/>
      <c r="G462" s="94"/>
      <c r="H462" s="243"/>
      <c r="I462" s="404" t="s">
        <v>494</v>
      </c>
      <c r="J462" s="404"/>
      <c r="K462" s="58"/>
      <c r="L462" s="404" t="s">
        <v>328</v>
      </c>
      <c r="M462" s="404"/>
    </row>
    <row r="463" spans="1:13" s="97" customFormat="1" ht="18" customHeight="1">
      <c r="A463" s="405" t="s">
        <v>495</v>
      </c>
      <c r="B463" s="405"/>
      <c r="C463" s="405"/>
      <c r="D463" s="405"/>
      <c r="E463" s="405"/>
      <c r="F463" s="405"/>
      <c r="G463" s="15"/>
      <c r="H463" s="15"/>
      <c r="I463" s="406" t="s">
        <v>496</v>
      </c>
      <c r="J463" s="406"/>
      <c r="K463" s="15"/>
      <c r="L463" s="405" t="s">
        <v>497</v>
      </c>
      <c r="M463" s="405"/>
    </row>
    <row r="464" spans="1:13" s="97" customFormat="1" ht="18" customHeight="1">
      <c r="A464" s="126"/>
      <c r="B464" s="126"/>
      <c r="C464" s="126"/>
      <c r="D464" s="126"/>
      <c r="E464" s="126"/>
      <c r="F464" s="126"/>
      <c r="G464" s="126"/>
      <c r="H464" s="126"/>
      <c r="I464" s="126"/>
      <c r="J464" s="126"/>
      <c r="K464" s="126"/>
      <c r="L464" s="126"/>
      <c r="M464" s="126"/>
    </row>
    <row r="465" spans="1:13" s="97" customFormat="1" ht="18" customHeight="1">
      <c r="A465" s="98"/>
      <c r="B465" s="98"/>
      <c r="C465" s="98"/>
      <c r="D465" s="98"/>
      <c r="E465" s="98"/>
      <c r="F465" s="98"/>
      <c r="G465" s="98"/>
      <c r="H465" s="98"/>
      <c r="I465" s="98"/>
      <c r="J465" s="98"/>
      <c r="K465" s="98"/>
      <c r="L465" s="98"/>
      <c r="M465" s="98"/>
    </row>
    <row r="466" spans="1:13" s="97" customFormat="1" ht="18" customHeight="1">
      <c r="A466" s="98"/>
      <c r="B466" s="98"/>
      <c r="C466" s="98"/>
      <c r="D466" s="98"/>
      <c r="E466" s="98"/>
      <c r="F466" s="98"/>
      <c r="G466" s="98"/>
      <c r="H466" s="98"/>
      <c r="I466" s="98"/>
      <c r="J466" s="98"/>
      <c r="K466" s="98"/>
      <c r="L466" s="98"/>
      <c r="M466" s="98"/>
    </row>
    <row r="467" spans="1:13" s="97" customFormat="1" ht="18" customHeight="1">
      <c r="A467" s="98"/>
      <c r="B467" s="98"/>
      <c r="C467" s="98"/>
      <c r="D467" s="98"/>
      <c r="E467" s="98"/>
      <c r="F467" s="98"/>
      <c r="G467" s="98"/>
      <c r="H467" s="98"/>
      <c r="I467" s="98"/>
      <c r="J467" s="98"/>
      <c r="K467" s="98"/>
      <c r="L467" s="98"/>
      <c r="M467" s="98"/>
    </row>
    <row r="468" spans="1:13" s="97" customFormat="1" ht="18" customHeight="1">
      <c r="A468" s="98"/>
      <c r="B468" s="98"/>
      <c r="C468" s="98"/>
      <c r="D468" s="98"/>
      <c r="E468" s="98"/>
      <c r="F468" s="98"/>
      <c r="G468" s="98"/>
      <c r="H468" s="98"/>
      <c r="I468" s="98"/>
      <c r="J468" s="98"/>
      <c r="K468" s="98"/>
      <c r="L468" s="98"/>
      <c r="M468" s="98"/>
    </row>
    <row r="469" spans="1:13" s="97" customFormat="1" ht="18" customHeight="1">
      <c r="A469" s="98"/>
      <c r="B469" s="98"/>
      <c r="C469" s="98"/>
      <c r="D469" s="98"/>
      <c r="E469" s="98"/>
      <c r="F469" s="98"/>
      <c r="G469" s="98"/>
      <c r="H469" s="98"/>
      <c r="I469" s="98"/>
      <c r="J469" s="98"/>
      <c r="K469" s="98"/>
      <c r="L469" s="98"/>
      <c r="M469" s="98"/>
    </row>
    <row r="470" spans="1:13" s="97" customFormat="1" ht="18" customHeight="1">
      <c r="A470" s="98"/>
      <c r="B470" s="98"/>
      <c r="C470" s="98"/>
      <c r="D470" s="98"/>
      <c r="E470" s="98"/>
      <c r="F470" s="98"/>
      <c r="G470" s="98"/>
      <c r="H470" s="98"/>
      <c r="I470" s="98"/>
      <c r="J470" s="98"/>
      <c r="K470" s="98"/>
      <c r="L470" s="98"/>
      <c r="M470" s="98"/>
    </row>
    <row r="471" spans="1:13" s="15" customFormat="1" ht="15" customHeight="1">
      <c r="A471" s="17"/>
      <c r="B471" s="18"/>
      <c r="C471" s="18"/>
      <c r="D471" s="18"/>
      <c r="E471" s="18"/>
      <c r="F471" s="18"/>
      <c r="G471" s="18"/>
      <c r="H471" s="18"/>
      <c r="I471" s="18"/>
      <c r="J471" s="18"/>
      <c r="K471" s="18"/>
      <c r="L471" s="18"/>
      <c r="M471" s="19"/>
    </row>
    <row r="472" spans="1:13" s="81" customFormat="1" ht="15" customHeight="1">
      <c r="A472" s="399" t="s">
        <v>481</v>
      </c>
      <c r="B472" s="399"/>
      <c r="C472" s="399"/>
      <c r="D472" s="399"/>
      <c r="E472" s="399"/>
      <c r="F472" s="399"/>
      <c r="G472" s="399"/>
      <c r="H472" s="399"/>
      <c r="I472" s="399"/>
      <c r="J472" s="399"/>
      <c r="K472" s="399"/>
      <c r="L472" s="399"/>
      <c r="M472" s="399"/>
    </row>
    <row r="473" spans="1:13" s="81" customFormat="1" ht="15" customHeight="1">
      <c r="A473" s="126"/>
      <c r="B473" s="126"/>
      <c r="C473" s="126"/>
      <c r="D473" s="126"/>
      <c r="E473" s="126"/>
      <c r="F473" s="126"/>
      <c r="G473" s="126"/>
      <c r="H473" s="126"/>
      <c r="I473" s="126"/>
      <c r="J473" s="126"/>
      <c r="K473" s="126"/>
      <c r="L473" s="126"/>
      <c r="M473" s="126"/>
    </row>
    <row r="474" spans="1:13" s="81" customFormat="1" ht="15" customHeight="1">
      <c r="A474" s="238" t="s">
        <v>482</v>
      </c>
      <c r="B474" s="238"/>
      <c r="C474" s="238"/>
      <c r="D474" s="239"/>
      <c r="E474" s="239"/>
      <c r="F474" s="238" t="s">
        <v>483</v>
      </c>
      <c r="G474" s="238"/>
      <c r="H474" s="238"/>
      <c r="I474" s="238"/>
      <c r="J474" s="238" t="s">
        <v>484</v>
      </c>
      <c r="K474" s="238" t="str">
        <f>$K$9</f>
        <v>2025</v>
      </c>
      <c r="L474" s="238"/>
      <c r="M474" s="238"/>
    </row>
    <row r="475" spans="1:13" s="81" customFormat="1" ht="15" customHeight="1">
      <c r="A475" s="238" t="s">
        <v>485</v>
      </c>
      <c r="B475" s="238"/>
      <c r="C475" s="238"/>
      <c r="D475" s="239"/>
      <c r="E475" s="238"/>
      <c r="F475" s="238" t="s">
        <v>486</v>
      </c>
      <c r="G475" s="238"/>
      <c r="H475" s="238"/>
      <c r="I475" s="238"/>
      <c r="J475" s="238" t="s">
        <v>487</v>
      </c>
      <c r="K475" s="94" t="s">
        <v>508</v>
      </c>
      <c r="L475" s="238"/>
      <c r="M475" s="238"/>
    </row>
    <row r="476" spans="1:13" s="81" customFormat="1" ht="15" customHeight="1">
      <c r="A476" s="238" t="s">
        <v>489</v>
      </c>
      <c r="B476" s="238"/>
      <c r="C476" s="238"/>
      <c r="D476" s="238"/>
      <c r="E476" s="238"/>
      <c r="F476" s="238"/>
      <c r="G476" s="238"/>
      <c r="H476" s="238"/>
      <c r="I476" s="238"/>
      <c r="J476" s="238"/>
      <c r="K476" s="238"/>
      <c r="L476" s="238"/>
      <c r="M476" s="238"/>
    </row>
    <row r="477" spans="1:13" s="81" customFormat="1" ht="15" customHeight="1">
      <c r="A477" s="368"/>
      <c r="B477" s="368"/>
      <c r="C477" s="368"/>
      <c r="D477" s="368"/>
      <c r="E477" s="368"/>
      <c r="F477" s="368"/>
      <c r="G477" s="368"/>
      <c r="H477" s="368"/>
      <c r="I477" s="368"/>
      <c r="J477" s="368"/>
      <c r="K477" s="368"/>
      <c r="L477" s="368"/>
      <c r="M477" s="368"/>
    </row>
    <row r="478" spans="1:13" s="33" customFormat="1" ht="18" customHeight="1" thickBot="1">
      <c r="A478" s="387"/>
      <c r="B478" s="387"/>
      <c r="C478" s="387"/>
      <c r="D478" s="387"/>
      <c r="E478" s="387"/>
      <c r="F478" s="387"/>
      <c r="G478" s="387"/>
      <c r="H478" s="387"/>
      <c r="I478" s="387"/>
      <c r="J478" s="387"/>
      <c r="K478" s="387"/>
      <c r="L478" s="387"/>
      <c r="M478" s="387"/>
    </row>
    <row r="479" spans="1:13" ht="18" customHeight="1">
      <c r="A479" s="192"/>
      <c r="B479" s="193"/>
      <c r="C479" s="193"/>
      <c r="D479" s="193"/>
      <c r="E479" s="193"/>
      <c r="F479" s="194"/>
      <c r="G479" s="195"/>
      <c r="H479" s="196"/>
      <c r="I479" s="196" t="s">
        <v>3</v>
      </c>
      <c r="J479" s="394" t="s">
        <v>188</v>
      </c>
      <c r="K479" s="395"/>
      <c r="L479" s="396"/>
      <c r="M479" s="197" t="s">
        <v>4</v>
      </c>
    </row>
    <row r="480" spans="1:13" ht="18" customHeight="1">
      <c r="A480" s="388"/>
      <c r="B480" s="389"/>
      <c r="C480" s="389"/>
      <c r="D480" s="389"/>
      <c r="E480" s="389"/>
      <c r="F480" s="390"/>
      <c r="G480" s="199"/>
      <c r="H480" s="200"/>
      <c r="I480" s="200">
        <v>2023</v>
      </c>
      <c r="J480" s="200" t="s">
        <v>137</v>
      </c>
      <c r="K480" s="200" t="s">
        <v>138</v>
      </c>
      <c r="L480" s="200">
        <v>2024</v>
      </c>
      <c r="M480" s="201">
        <v>2025</v>
      </c>
    </row>
    <row r="481" spans="1:13" ht="18" customHeight="1">
      <c r="A481" s="388" t="s">
        <v>8</v>
      </c>
      <c r="B481" s="389"/>
      <c r="C481" s="389"/>
      <c r="D481" s="389"/>
      <c r="E481" s="389"/>
      <c r="F481" s="390"/>
      <c r="G481" s="202"/>
      <c r="H481" s="203" t="s">
        <v>186</v>
      </c>
      <c r="I481" s="200" t="s">
        <v>311</v>
      </c>
      <c r="J481" s="200" t="s">
        <v>136</v>
      </c>
      <c r="K481" s="200" t="s">
        <v>139</v>
      </c>
      <c r="L481" s="200" t="s">
        <v>311</v>
      </c>
      <c r="M481" s="201" t="s">
        <v>311</v>
      </c>
    </row>
    <row r="482" spans="1:13" ht="18" customHeight="1">
      <c r="A482" s="204"/>
      <c r="B482" s="99"/>
      <c r="C482" s="99"/>
      <c r="D482" s="99"/>
      <c r="E482" s="99"/>
      <c r="F482" s="205"/>
      <c r="G482" s="202"/>
      <c r="H482" s="200"/>
      <c r="I482" s="200" t="s">
        <v>136</v>
      </c>
      <c r="J482" s="200">
        <v>2024</v>
      </c>
      <c r="K482" s="200">
        <v>2024</v>
      </c>
      <c r="L482" s="200" t="s">
        <v>312</v>
      </c>
      <c r="M482" s="201" t="s">
        <v>140</v>
      </c>
    </row>
    <row r="483" spans="1:13" ht="18" customHeight="1" thickBot="1">
      <c r="A483" s="391"/>
      <c r="B483" s="392"/>
      <c r="C483" s="392"/>
      <c r="D483" s="392"/>
      <c r="E483" s="392"/>
      <c r="F483" s="393"/>
      <c r="G483" s="206"/>
      <c r="H483" s="207"/>
      <c r="I483" s="207"/>
      <c r="J483" s="207"/>
      <c r="K483" s="207"/>
      <c r="L483" s="207"/>
      <c r="M483" s="208"/>
    </row>
    <row r="484" spans="1:13" ht="18" customHeight="1">
      <c r="A484" s="209"/>
      <c r="B484" s="210" t="s">
        <v>51</v>
      </c>
      <c r="C484" s="211"/>
      <c r="D484" s="210"/>
      <c r="E484" s="210"/>
      <c r="F484" s="212"/>
      <c r="G484" s="213"/>
      <c r="H484" s="225"/>
      <c r="I484" s="226"/>
      <c r="J484" s="62"/>
      <c r="K484" s="62"/>
      <c r="L484" s="62"/>
      <c r="M484" s="62"/>
    </row>
    <row r="485" spans="1:13" ht="18" customHeight="1">
      <c r="A485" s="133"/>
      <c r="B485" s="127"/>
      <c r="C485" s="127" t="s">
        <v>102</v>
      </c>
      <c r="D485" s="127"/>
      <c r="E485" s="127"/>
      <c r="F485" s="128"/>
      <c r="G485" s="129"/>
      <c r="H485" s="167"/>
      <c r="I485" s="168"/>
      <c r="J485" s="63"/>
      <c r="K485" s="63"/>
      <c r="L485" s="63"/>
      <c r="M485" s="63"/>
    </row>
    <row r="486" spans="1:13" s="97" customFormat="1" ht="18" customHeight="1">
      <c r="A486" s="133"/>
      <c r="B486" s="127"/>
      <c r="C486" s="127"/>
      <c r="D486" s="127" t="s">
        <v>103</v>
      </c>
      <c r="E486" s="127"/>
      <c r="F486" s="128"/>
      <c r="G486" s="129" t="s">
        <v>156</v>
      </c>
      <c r="H486" s="130" t="s">
        <v>196</v>
      </c>
      <c r="I486" s="135">
        <v>1671370.64</v>
      </c>
      <c r="J486" s="39">
        <v>662919</v>
      </c>
      <c r="K486" s="39">
        <f>1953312-J486</f>
        <v>1290393</v>
      </c>
      <c r="L486" s="39">
        <f t="shared" ref="L486:L506" si="31">SUM(K486+J486)</f>
        <v>1953312</v>
      </c>
      <c r="M486" s="39">
        <v>2188460</v>
      </c>
    </row>
    <row r="487" spans="1:13" s="97" customFormat="1" ht="18" customHeight="1">
      <c r="A487" s="133"/>
      <c r="B487" s="127"/>
      <c r="C487" s="127" t="s">
        <v>104</v>
      </c>
      <c r="D487" s="127"/>
      <c r="E487" s="127"/>
      <c r="F487" s="128"/>
      <c r="G487" s="129"/>
      <c r="H487" s="167"/>
      <c r="I487" s="135"/>
      <c r="J487" s="39"/>
      <c r="K487" s="39"/>
      <c r="L487" s="39"/>
      <c r="M487" s="39"/>
    </row>
    <row r="488" spans="1:13" s="97" customFormat="1" ht="18" customHeight="1">
      <c r="A488" s="133"/>
      <c r="B488" s="127"/>
      <c r="C488" s="127"/>
      <c r="D488" s="127" t="s">
        <v>105</v>
      </c>
      <c r="E488" s="127"/>
      <c r="F488" s="128"/>
      <c r="G488" s="129" t="s">
        <v>157</v>
      </c>
      <c r="H488" s="130" t="s">
        <v>197</v>
      </c>
      <c r="I488" s="135">
        <v>85818.18</v>
      </c>
      <c r="J488" s="39">
        <v>30000</v>
      </c>
      <c r="K488" s="39">
        <f>120000-J488</f>
        <v>90000</v>
      </c>
      <c r="L488" s="39">
        <f t="shared" si="31"/>
        <v>120000</v>
      </c>
      <c r="M488" s="39">
        <v>144000</v>
      </c>
    </row>
    <row r="489" spans="1:13" s="97" customFormat="1" ht="18" customHeight="1">
      <c r="A489" s="133"/>
      <c r="B489" s="127"/>
      <c r="C489" s="127"/>
      <c r="D489" s="127" t="s">
        <v>107</v>
      </c>
      <c r="E489" s="127"/>
      <c r="F489" s="128"/>
      <c r="G489" s="129" t="s">
        <v>158</v>
      </c>
      <c r="H489" s="130" t="s">
        <v>198</v>
      </c>
      <c r="I489" s="135">
        <v>76500</v>
      </c>
      <c r="J489" s="39">
        <v>43350</v>
      </c>
      <c r="K489" s="39">
        <f>86700-J489</f>
        <v>43350</v>
      </c>
      <c r="L489" s="39">
        <f t="shared" si="31"/>
        <v>86700</v>
      </c>
      <c r="M489" s="39">
        <v>86700</v>
      </c>
    </row>
    <row r="490" spans="1:13" s="97" customFormat="1" ht="18" customHeight="1">
      <c r="A490" s="133"/>
      <c r="B490" s="127"/>
      <c r="C490" s="127"/>
      <c r="D490" s="127" t="s">
        <v>106</v>
      </c>
      <c r="E490" s="127"/>
      <c r="F490" s="128"/>
      <c r="G490" s="129" t="s">
        <v>159</v>
      </c>
      <c r="H490" s="130" t="s">
        <v>199</v>
      </c>
      <c r="I490" s="135">
        <v>76500</v>
      </c>
      <c r="J490" s="39">
        <v>43350</v>
      </c>
      <c r="K490" s="39">
        <f>86700-J490</f>
        <v>43350</v>
      </c>
      <c r="L490" s="39">
        <f t="shared" si="31"/>
        <v>86700</v>
      </c>
      <c r="M490" s="39">
        <v>86700</v>
      </c>
    </row>
    <row r="491" spans="1:13" s="97" customFormat="1" ht="18" customHeight="1">
      <c r="A491" s="133"/>
      <c r="B491" s="127"/>
      <c r="C491" s="127"/>
      <c r="D491" s="127" t="s">
        <v>108</v>
      </c>
      <c r="E491" s="127"/>
      <c r="F491" s="128"/>
      <c r="G491" s="129" t="s">
        <v>160</v>
      </c>
      <c r="H491" s="130" t="s">
        <v>200</v>
      </c>
      <c r="I491" s="135">
        <v>24000</v>
      </c>
      <c r="J491" s="39">
        <v>20000</v>
      </c>
      <c r="K491" s="39">
        <f>35000-J491</f>
        <v>15000</v>
      </c>
      <c r="L491" s="39">
        <f t="shared" si="31"/>
        <v>35000</v>
      </c>
      <c r="M491" s="39">
        <v>42000</v>
      </c>
    </row>
    <row r="492" spans="1:13" s="97" customFormat="1" ht="18" customHeight="1">
      <c r="A492" s="133"/>
      <c r="B492" s="127"/>
      <c r="C492" s="127"/>
      <c r="D492" s="127" t="s">
        <v>194</v>
      </c>
      <c r="E492" s="127"/>
      <c r="F492" s="128"/>
      <c r="G492" s="129" t="s">
        <v>162</v>
      </c>
      <c r="H492" s="130" t="s">
        <v>201</v>
      </c>
      <c r="I492" s="135">
        <v>12000</v>
      </c>
      <c r="J492" s="39"/>
      <c r="K492" s="39">
        <f>25000-J492</f>
        <v>25000</v>
      </c>
      <c r="L492" s="39">
        <f t="shared" si="31"/>
        <v>25000</v>
      </c>
      <c r="M492" s="39">
        <v>30000</v>
      </c>
    </row>
    <row r="493" spans="1:13" s="97" customFormat="1" ht="18" customHeight="1">
      <c r="A493" s="133"/>
      <c r="B493" s="127"/>
      <c r="C493" s="127"/>
      <c r="D493" s="127" t="s">
        <v>110</v>
      </c>
      <c r="E493" s="127"/>
      <c r="F493" s="128"/>
      <c r="G493" s="129" t="s">
        <v>92</v>
      </c>
      <c r="H493" s="130" t="s">
        <v>202</v>
      </c>
      <c r="I493" s="135">
        <v>5000</v>
      </c>
      <c r="J493" s="39"/>
      <c r="K493" s="39">
        <f>0-J493</f>
        <v>0</v>
      </c>
      <c r="L493" s="39">
        <f t="shared" si="31"/>
        <v>0</v>
      </c>
      <c r="M493" s="39">
        <v>0</v>
      </c>
    </row>
    <row r="494" spans="1:13" s="97" customFormat="1" ht="18" customHeight="1">
      <c r="A494" s="133"/>
      <c r="B494" s="127"/>
      <c r="C494" s="127"/>
      <c r="D494" s="127" t="s">
        <v>354</v>
      </c>
      <c r="E494" s="127"/>
      <c r="F494" s="128"/>
      <c r="G494" s="129" t="s">
        <v>92</v>
      </c>
      <c r="H494" s="130" t="s">
        <v>202</v>
      </c>
      <c r="I494" s="135"/>
      <c r="J494" s="39"/>
      <c r="K494" s="39">
        <f>0-J494</f>
        <v>0</v>
      </c>
      <c r="L494" s="39">
        <f t="shared" si="31"/>
        <v>0</v>
      </c>
      <c r="M494" s="39">
        <v>0</v>
      </c>
    </row>
    <row r="495" spans="1:13" s="97" customFormat="1" ht="18" customHeight="1">
      <c r="A495" s="133"/>
      <c r="B495" s="127"/>
      <c r="C495" s="127"/>
      <c r="D495" s="127" t="s">
        <v>421</v>
      </c>
      <c r="E495" s="127"/>
      <c r="F495" s="128"/>
      <c r="G495" s="129"/>
      <c r="H495" s="130" t="s">
        <v>202</v>
      </c>
      <c r="I495" s="135"/>
      <c r="J495" s="39"/>
      <c r="K495" s="39">
        <f>0-J495</f>
        <v>0</v>
      </c>
      <c r="L495" s="39">
        <f t="shared" si="31"/>
        <v>0</v>
      </c>
      <c r="M495" s="39">
        <v>42000</v>
      </c>
    </row>
    <row r="496" spans="1:13" s="97" customFormat="1" ht="18" customHeight="1">
      <c r="A496" s="133"/>
      <c r="B496" s="127"/>
      <c r="C496" s="127"/>
      <c r="D496" s="127" t="s">
        <v>52</v>
      </c>
      <c r="E496" s="127"/>
      <c r="F496" s="128"/>
      <c r="G496" s="129" t="s">
        <v>164</v>
      </c>
      <c r="H496" s="130" t="s">
        <v>219</v>
      </c>
      <c r="I496" s="135">
        <f>3239.43+5596.37</f>
        <v>8835.7999999999993</v>
      </c>
      <c r="J496" s="39">
        <v>1743.53</v>
      </c>
      <c r="K496" s="39">
        <f>25000-J496</f>
        <v>23256.47</v>
      </c>
      <c r="L496" s="39">
        <f t="shared" si="31"/>
        <v>25000</v>
      </c>
      <c r="M496" s="39">
        <v>30000</v>
      </c>
    </row>
    <row r="497" spans="1:13" s="97" customFormat="1" ht="18" customHeight="1">
      <c r="A497" s="133"/>
      <c r="B497" s="127"/>
      <c r="C497" s="127"/>
      <c r="D497" s="127" t="s">
        <v>112</v>
      </c>
      <c r="E497" s="127"/>
      <c r="F497" s="128"/>
      <c r="G497" s="129" t="s">
        <v>165</v>
      </c>
      <c r="H497" s="130" t="s">
        <v>203</v>
      </c>
      <c r="I497" s="135">
        <v>18500</v>
      </c>
      <c r="J497" s="39"/>
      <c r="K497" s="39">
        <f>25000-J497</f>
        <v>25000</v>
      </c>
      <c r="L497" s="39">
        <f t="shared" si="31"/>
        <v>25000</v>
      </c>
      <c r="M497" s="39">
        <v>30000</v>
      </c>
    </row>
    <row r="498" spans="1:13" s="97" customFormat="1" ht="18" customHeight="1">
      <c r="A498" s="133"/>
      <c r="B498" s="127"/>
      <c r="C498" s="127"/>
      <c r="D498" s="127" t="s">
        <v>252</v>
      </c>
      <c r="E498" s="127"/>
      <c r="F498" s="127"/>
      <c r="G498" s="138" t="s">
        <v>92</v>
      </c>
      <c r="H498" s="130" t="s">
        <v>202</v>
      </c>
      <c r="I498" s="135">
        <v>146894</v>
      </c>
      <c r="J498" s="39">
        <v>93626</v>
      </c>
      <c r="K498" s="39">
        <f>160142-J498</f>
        <v>66516</v>
      </c>
      <c r="L498" s="39">
        <f t="shared" si="31"/>
        <v>160142</v>
      </c>
      <c r="M498" s="39">
        <v>179880</v>
      </c>
    </row>
    <row r="499" spans="1:13" s="97" customFormat="1" ht="18" customHeight="1">
      <c r="A499" s="133"/>
      <c r="B499" s="127"/>
      <c r="C499" s="127"/>
      <c r="D499" s="127" t="s">
        <v>113</v>
      </c>
      <c r="E499" s="127"/>
      <c r="F499" s="128"/>
      <c r="G499" s="129" t="s">
        <v>166</v>
      </c>
      <c r="H499" s="130" t="s">
        <v>204</v>
      </c>
      <c r="I499" s="135">
        <v>139138.5</v>
      </c>
      <c r="J499" s="39">
        <v>0</v>
      </c>
      <c r="K499" s="39">
        <f>169893-J499</f>
        <v>169893</v>
      </c>
      <c r="L499" s="39">
        <f t="shared" si="31"/>
        <v>169893</v>
      </c>
      <c r="M499" s="39">
        <v>187355</v>
      </c>
    </row>
    <row r="500" spans="1:13" s="97" customFormat="1" ht="18" customHeight="1">
      <c r="A500" s="133"/>
      <c r="B500" s="127"/>
      <c r="C500" s="127"/>
      <c r="D500" s="127" t="s">
        <v>190</v>
      </c>
      <c r="E500" s="127"/>
      <c r="F500" s="128"/>
      <c r="G500" s="129" t="s">
        <v>167</v>
      </c>
      <c r="H500" s="130" t="s">
        <v>205</v>
      </c>
      <c r="I500" s="135">
        <f>198649.28+1900.74</f>
        <v>200550.02</v>
      </c>
      <c r="J500" s="39">
        <v>68315.16</v>
      </c>
      <c r="K500" s="39">
        <f>235500-J500</f>
        <v>167184.84</v>
      </c>
      <c r="L500" s="39">
        <f t="shared" si="31"/>
        <v>235500</v>
      </c>
      <c r="M500" s="39">
        <v>263000</v>
      </c>
    </row>
    <row r="501" spans="1:13" s="97" customFormat="1" ht="18" customHeight="1">
      <c r="A501" s="133"/>
      <c r="B501" s="127"/>
      <c r="C501" s="127"/>
      <c r="D501" s="127" t="s">
        <v>114</v>
      </c>
      <c r="E501" s="127"/>
      <c r="F501" s="128"/>
      <c r="G501" s="129" t="s">
        <v>168</v>
      </c>
      <c r="H501" s="130" t="s">
        <v>206</v>
      </c>
      <c r="I501" s="135">
        <f>4000+300</f>
        <v>4300</v>
      </c>
      <c r="J501" s="39">
        <v>2300</v>
      </c>
      <c r="K501" s="39">
        <f>12000-J501</f>
        <v>9700</v>
      </c>
      <c r="L501" s="39">
        <f t="shared" si="31"/>
        <v>12000</v>
      </c>
      <c r="M501" s="39">
        <v>14400</v>
      </c>
    </row>
    <row r="502" spans="1:13" s="97" customFormat="1" ht="18" customHeight="1">
      <c r="A502" s="133"/>
      <c r="B502" s="127"/>
      <c r="C502" s="127"/>
      <c r="D502" s="127" t="s">
        <v>115</v>
      </c>
      <c r="E502" s="127"/>
      <c r="F502" s="128"/>
      <c r="G502" s="129" t="s">
        <v>169</v>
      </c>
      <c r="H502" s="130" t="s">
        <v>207</v>
      </c>
      <c r="I502" s="135">
        <v>32919.839999999997</v>
      </c>
      <c r="J502" s="39">
        <v>14232.34</v>
      </c>
      <c r="K502" s="39">
        <f>49500-J502</f>
        <v>35267.660000000003</v>
      </c>
      <c r="L502" s="39">
        <f t="shared" si="31"/>
        <v>49500</v>
      </c>
      <c r="M502" s="39">
        <v>55000</v>
      </c>
    </row>
    <row r="503" spans="1:13" s="97" customFormat="1" ht="18" customHeight="1">
      <c r="A503" s="133"/>
      <c r="B503" s="127"/>
      <c r="C503" s="127"/>
      <c r="D503" s="127" t="s">
        <v>189</v>
      </c>
      <c r="E503" s="127"/>
      <c r="F503" s="128"/>
      <c r="G503" s="129" t="s">
        <v>170</v>
      </c>
      <c r="H503" s="130" t="s">
        <v>208</v>
      </c>
      <c r="I503" s="135">
        <v>4300</v>
      </c>
      <c r="J503" s="39">
        <v>1300</v>
      </c>
      <c r="K503" s="39">
        <f>6000-J503</f>
        <v>4700</v>
      </c>
      <c r="L503" s="39">
        <f t="shared" si="31"/>
        <v>6000</v>
      </c>
      <c r="M503" s="39">
        <v>7200</v>
      </c>
    </row>
    <row r="504" spans="1:13" s="97" customFormat="1" ht="18" customHeight="1">
      <c r="A504" s="133"/>
      <c r="B504" s="127"/>
      <c r="C504" s="127"/>
      <c r="D504" s="127" t="s">
        <v>54</v>
      </c>
      <c r="E504" s="127"/>
      <c r="F504" s="128"/>
      <c r="G504" s="129"/>
      <c r="H504" s="130" t="s">
        <v>209</v>
      </c>
      <c r="I504" s="135">
        <v>31133.62</v>
      </c>
      <c r="J504" s="39"/>
      <c r="K504" s="39">
        <f>0-J504</f>
        <v>0</v>
      </c>
      <c r="L504" s="39">
        <f t="shared" si="31"/>
        <v>0</v>
      </c>
      <c r="M504" s="39">
        <v>0</v>
      </c>
    </row>
    <row r="505" spans="1:13" s="97" customFormat="1" ht="18" customHeight="1">
      <c r="A505" s="133"/>
      <c r="B505" s="127"/>
      <c r="C505" s="127"/>
      <c r="D505" s="127" t="s">
        <v>117</v>
      </c>
      <c r="E505" s="127"/>
      <c r="F505" s="128"/>
      <c r="G505" s="129" t="s">
        <v>67</v>
      </c>
      <c r="H505" s="130" t="s">
        <v>220</v>
      </c>
      <c r="I505" s="135"/>
      <c r="J505" s="39">
        <v>62342.25</v>
      </c>
      <c r="K505" s="39">
        <f>62342.25-J505</f>
        <v>0</v>
      </c>
      <c r="L505" s="39">
        <f t="shared" si="31"/>
        <v>62342.25</v>
      </c>
      <c r="M505" s="39">
        <v>0</v>
      </c>
    </row>
    <row r="506" spans="1:13" s="97" customFormat="1" ht="18" customHeight="1">
      <c r="A506" s="133"/>
      <c r="B506" s="127"/>
      <c r="C506" s="127"/>
      <c r="D506" s="127" t="s">
        <v>343</v>
      </c>
      <c r="E506" s="127"/>
      <c r="F506" s="128"/>
      <c r="G506" s="129"/>
      <c r="H506" s="130" t="s">
        <v>220</v>
      </c>
      <c r="I506" s="135">
        <v>46000</v>
      </c>
      <c r="J506" s="39"/>
      <c r="K506" s="39">
        <f>56000-J506</f>
        <v>56000</v>
      </c>
      <c r="L506" s="39">
        <f t="shared" si="31"/>
        <v>56000</v>
      </c>
      <c r="M506" s="39">
        <v>0</v>
      </c>
    </row>
    <row r="507" spans="1:13" s="45" customFormat="1" ht="18" customHeight="1">
      <c r="A507" s="133"/>
      <c r="B507" s="127"/>
      <c r="C507" s="127"/>
      <c r="D507" s="191" t="s">
        <v>423</v>
      </c>
      <c r="E507" s="127"/>
      <c r="F507" s="128"/>
      <c r="G507" s="129"/>
      <c r="H507" s="130" t="s">
        <v>220</v>
      </c>
      <c r="I507" s="135">
        <v>127500</v>
      </c>
      <c r="J507" s="39"/>
      <c r="K507" s="39">
        <f>110000-J507</f>
        <v>110000</v>
      </c>
      <c r="L507" s="39">
        <f t="shared" ref="L507" si="32">SUM(K507+J507)</f>
        <v>110000</v>
      </c>
      <c r="M507" s="39">
        <v>0</v>
      </c>
    </row>
    <row r="508" spans="1:13" ht="18" customHeight="1">
      <c r="A508" s="139"/>
      <c r="B508" s="140"/>
      <c r="C508" s="140"/>
      <c r="D508" s="140" t="s">
        <v>53</v>
      </c>
      <c r="E508" s="140"/>
      <c r="F508" s="141"/>
      <c r="G508" s="142"/>
      <c r="H508" s="169"/>
      <c r="I508" s="143">
        <f>SUM(I486:I507)</f>
        <v>2711260.6</v>
      </c>
      <c r="J508" s="143">
        <f t="shared" ref="J508:L508" si="33">SUM(J486:J507)</f>
        <v>1043478.28</v>
      </c>
      <c r="K508" s="143">
        <f t="shared" si="33"/>
        <v>2174610.9699999997</v>
      </c>
      <c r="L508" s="143">
        <f t="shared" si="33"/>
        <v>3218089.25</v>
      </c>
      <c r="M508" s="143">
        <f>SUM(M486:M507)</f>
        <v>3386695</v>
      </c>
    </row>
    <row r="509" spans="1:13" s="97" customFormat="1" ht="18" customHeight="1">
      <c r="A509" s="133"/>
      <c r="B509" s="127" t="s">
        <v>118</v>
      </c>
      <c r="C509" s="127"/>
      <c r="D509" s="127"/>
      <c r="E509" s="127"/>
      <c r="F509" s="128"/>
      <c r="G509" s="129"/>
      <c r="H509" s="167"/>
      <c r="I509" s="135"/>
      <c r="J509" s="39"/>
      <c r="K509" s="39"/>
      <c r="L509" s="39"/>
      <c r="M509" s="39"/>
    </row>
    <row r="510" spans="1:13" s="97" customFormat="1" ht="18" customHeight="1">
      <c r="A510" s="133"/>
      <c r="B510" s="127"/>
      <c r="C510" s="127"/>
      <c r="D510" s="127" t="s">
        <v>119</v>
      </c>
      <c r="E510" s="127"/>
      <c r="F510" s="128"/>
      <c r="G510" s="129" t="s">
        <v>60</v>
      </c>
      <c r="H510" s="130" t="s">
        <v>210</v>
      </c>
      <c r="I510" s="135">
        <v>119040</v>
      </c>
      <c r="J510" s="39">
        <v>44131.66</v>
      </c>
      <c r="K510" s="39">
        <f>115746.15-J510</f>
        <v>71614.489999999991</v>
      </c>
      <c r="L510" s="39">
        <f t="shared" ref="L510:L516" si="34">SUM(K510+J510)</f>
        <v>115746.15</v>
      </c>
      <c r="M510" s="39">
        <v>180000</v>
      </c>
    </row>
    <row r="511" spans="1:13" s="97" customFormat="1" ht="18" customHeight="1">
      <c r="A511" s="133"/>
      <c r="B511" s="127"/>
      <c r="C511" s="127"/>
      <c r="D511" s="127" t="s">
        <v>91</v>
      </c>
      <c r="E511" s="127"/>
      <c r="F511" s="128"/>
      <c r="G511" s="129" t="s">
        <v>61</v>
      </c>
      <c r="H511" s="130" t="s">
        <v>211</v>
      </c>
      <c r="I511" s="135">
        <v>127684.23</v>
      </c>
      <c r="J511" s="39">
        <v>49258.33</v>
      </c>
      <c r="K511" s="39">
        <f>160000-J511</f>
        <v>110741.67</v>
      </c>
      <c r="L511" s="39">
        <f t="shared" si="34"/>
        <v>160000</v>
      </c>
      <c r="M511" s="39">
        <v>160000</v>
      </c>
    </row>
    <row r="512" spans="1:13" s="97" customFormat="1" ht="18" customHeight="1">
      <c r="A512" s="133"/>
      <c r="B512" s="127"/>
      <c r="C512" s="127"/>
      <c r="D512" s="127" t="s">
        <v>58</v>
      </c>
      <c r="E512" s="127"/>
      <c r="F512" s="128"/>
      <c r="G512" s="129" t="s">
        <v>63</v>
      </c>
      <c r="H512" s="130" t="s">
        <v>212</v>
      </c>
      <c r="I512" s="135">
        <v>187776</v>
      </c>
      <c r="J512" s="39">
        <v>60747.12</v>
      </c>
      <c r="K512" s="39">
        <f>279483-J512</f>
        <v>218735.88</v>
      </c>
      <c r="L512" s="39">
        <f t="shared" si="34"/>
        <v>279483</v>
      </c>
      <c r="M512" s="39">
        <v>350000</v>
      </c>
    </row>
    <row r="513" spans="1:13" s="97" customFormat="1" ht="18" customHeight="1">
      <c r="A513" s="133"/>
      <c r="B513" s="127"/>
      <c r="C513" s="127"/>
      <c r="D513" s="127" t="s">
        <v>125</v>
      </c>
      <c r="E513" s="127"/>
      <c r="F513" s="128"/>
      <c r="G513" s="129" t="s">
        <v>64</v>
      </c>
      <c r="H513" s="130" t="s">
        <v>214</v>
      </c>
      <c r="I513" s="135">
        <v>48000</v>
      </c>
      <c r="J513" s="39">
        <v>21000</v>
      </c>
      <c r="K513" s="39">
        <f>48000-J513</f>
        <v>27000</v>
      </c>
      <c r="L513" s="39">
        <f t="shared" si="34"/>
        <v>48000</v>
      </c>
      <c r="M513" s="39">
        <v>36000</v>
      </c>
    </row>
    <row r="514" spans="1:13" s="97" customFormat="1" ht="18" customHeight="1">
      <c r="A514" s="133"/>
      <c r="B514" s="127"/>
      <c r="C514" s="127"/>
      <c r="D514" s="127" t="s">
        <v>304</v>
      </c>
      <c r="E514" s="127"/>
      <c r="F514" s="128"/>
      <c r="G514" s="129" t="s">
        <v>65</v>
      </c>
      <c r="H514" s="130" t="s">
        <v>215</v>
      </c>
      <c r="I514" s="135">
        <v>22650</v>
      </c>
      <c r="J514" s="39">
        <v>28108</v>
      </c>
      <c r="K514" s="39">
        <f>28108-J514</f>
        <v>0</v>
      </c>
      <c r="L514" s="39">
        <f t="shared" si="34"/>
        <v>28108</v>
      </c>
      <c r="M514" s="39">
        <v>40000</v>
      </c>
    </row>
    <row r="515" spans="1:13" s="97" customFormat="1" ht="18" customHeight="1">
      <c r="A515" s="133"/>
      <c r="B515" s="127"/>
      <c r="C515" s="127"/>
      <c r="D515" s="127" t="s">
        <v>131</v>
      </c>
      <c r="E515" s="127"/>
      <c r="F515" s="128"/>
      <c r="G515" s="129" t="s">
        <v>66</v>
      </c>
      <c r="H515" s="130" t="s">
        <v>216</v>
      </c>
      <c r="I515" s="135"/>
      <c r="J515" s="39">
        <v>1800</v>
      </c>
      <c r="K515" s="39">
        <f>20000-J515</f>
        <v>18200</v>
      </c>
      <c r="L515" s="39">
        <f t="shared" si="34"/>
        <v>20000</v>
      </c>
      <c r="M515" s="39">
        <v>20000</v>
      </c>
    </row>
    <row r="516" spans="1:13" s="45" customFormat="1" ht="18" customHeight="1">
      <c r="A516" s="133"/>
      <c r="B516" s="127"/>
      <c r="C516" s="127"/>
      <c r="D516" s="127" t="s">
        <v>366</v>
      </c>
      <c r="E516" s="127"/>
      <c r="F516" s="128"/>
      <c r="G516" s="129"/>
      <c r="H516" s="130" t="s">
        <v>216</v>
      </c>
      <c r="I516" s="135"/>
      <c r="J516" s="39"/>
      <c r="K516" s="39">
        <f>0-J516</f>
        <v>0</v>
      </c>
      <c r="L516" s="39">
        <f t="shared" si="34"/>
        <v>0</v>
      </c>
      <c r="M516" s="39">
        <v>0</v>
      </c>
    </row>
    <row r="517" spans="1:13" ht="18" customHeight="1">
      <c r="A517" s="139"/>
      <c r="B517" s="140"/>
      <c r="C517" s="140"/>
      <c r="D517" s="140" t="s">
        <v>244</v>
      </c>
      <c r="E517" s="140"/>
      <c r="F517" s="141"/>
      <c r="G517" s="142"/>
      <c r="H517" s="169"/>
      <c r="I517" s="143">
        <f>SUM(I510:I516)</f>
        <v>505150.23</v>
      </c>
      <c r="J517" s="143">
        <f t="shared" ref="J517:M517" si="35">SUM(J510:J516)</f>
        <v>205045.11000000002</v>
      </c>
      <c r="K517" s="143">
        <f t="shared" si="35"/>
        <v>446292.04</v>
      </c>
      <c r="L517" s="143">
        <f t="shared" si="35"/>
        <v>651337.15</v>
      </c>
      <c r="M517" s="143">
        <f t="shared" si="35"/>
        <v>786000</v>
      </c>
    </row>
    <row r="518" spans="1:13" s="97" customFormat="1" ht="18" customHeight="1">
      <c r="A518" s="133"/>
      <c r="B518" s="127" t="s">
        <v>132</v>
      </c>
      <c r="C518" s="127"/>
      <c r="D518" s="127"/>
      <c r="E518" s="127"/>
      <c r="F518" s="128"/>
      <c r="G518" s="129"/>
      <c r="H518" s="167"/>
      <c r="I518" s="135"/>
      <c r="J518" s="39"/>
      <c r="K518" s="39"/>
      <c r="L518" s="39"/>
      <c r="M518" s="39"/>
    </row>
    <row r="519" spans="1:13" s="97" customFormat="1" ht="18" customHeight="1">
      <c r="A519" s="133"/>
      <c r="B519" s="127"/>
      <c r="C519" s="127"/>
      <c r="D519" s="127" t="s">
        <v>195</v>
      </c>
      <c r="E519" s="127"/>
      <c r="F519" s="128"/>
      <c r="G519" s="129" t="s">
        <v>285</v>
      </c>
      <c r="H519" s="130" t="s">
        <v>286</v>
      </c>
      <c r="I519" s="135"/>
      <c r="J519" s="39">
        <v>0</v>
      </c>
      <c r="K519" s="39">
        <f>30000-J519</f>
        <v>30000</v>
      </c>
      <c r="L519" s="39">
        <f>SUM(K519+J519)</f>
        <v>30000</v>
      </c>
      <c r="M519" s="39">
        <v>55000</v>
      </c>
    </row>
    <row r="520" spans="1:13" s="97" customFormat="1" ht="18" customHeight="1">
      <c r="A520" s="133"/>
      <c r="B520" s="127"/>
      <c r="C520" s="127"/>
      <c r="D520" s="127" t="s">
        <v>284</v>
      </c>
      <c r="E520" s="127"/>
      <c r="F520" s="128"/>
      <c r="G520" s="129" t="s">
        <v>287</v>
      </c>
      <c r="H520" s="130" t="s">
        <v>348</v>
      </c>
      <c r="I520" s="135"/>
      <c r="J520" s="39">
        <v>0</v>
      </c>
      <c r="K520" s="39">
        <f t="shared" ref="K520:K522" si="36">0-J520</f>
        <v>0</v>
      </c>
      <c r="L520" s="39">
        <f>SUM(K520+J520)</f>
        <v>0</v>
      </c>
      <c r="M520" s="39">
        <v>0</v>
      </c>
    </row>
    <row r="521" spans="1:13" s="97" customFormat="1" ht="18" customHeight="1">
      <c r="A521" s="133"/>
      <c r="B521" s="127"/>
      <c r="C521" s="127"/>
      <c r="D521" s="127" t="s">
        <v>292</v>
      </c>
      <c r="E521" s="127"/>
      <c r="F521" s="128"/>
      <c r="G521" s="129" t="s">
        <v>303</v>
      </c>
      <c r="H521" s="130" t="s">
        <v>293</v>
      </c>
      <c r="I521" s="135">
        <v>0</v>
      </c>
      <c r="J521" s="39">
        <v>0</v>
      </c>
      <c r="K521" s="39">
        <f t="shared" si="36"/>
        <v>0</v>
      </c>
      <c r="L521" s="39">
        <f>SUM(K521+J521)</f>
        <v>0</v>
      </c>
      <c r="M521" s="39"/>
    </row>
    <row r="522" spans="1:13" s="45" customFormat="1" ht="18" customHeight="1">
      <c r="A522" s="133"/>
      <c r="B522" s="127"/>
      <c r="C522" s="127"/>
      <c r="D522" s="127" t="s">
        <v>288</v>
      </c>
      <c r="E522" s="127"/>
      <c r="F522" s="128"/>
      <c r="G522" s="129" t="s">
        <v>289</v>
      </c>
      <c r="H522" s="130" t="s">
        <v>290</v>
      </c>
      <c r="I522" s="135">
        <v>0</v>
      </c>
      <c r="J522" s="39">
        <v>0</v>
      </c>
      <c r="K522" s="39">
        <f t="shared" si="36"/>
        <v>0</v>
      </c>
      <c r="L522" s="39">
        <f>SUM(K522+J522)</f>
        <v>0</v>
      </c>
      <c r="M522" s="39">
        <v>0</v>
      </c>
    </row>
    <row r="523" spans="1:13" s="45" customFormat="1" ht="18" customHeight="1">
      <c r="A523" s="139"/>
      <c r="B523" s="140"/>
      <c r="C523" s="140"/>
      <c r="D523" s="140" t="s">
        <v>245</v>
      </c>
      <c r="E523" s="140"/>
      <c r="F523" s="141"/>
      <c r="G523" s="142"/>
      <c r="H523" s="169"/>
      <c r="I523" s="143">
        <f>SUM(I519:I522)</f>
        <v>0</v>
      </c>
      <c r="J523" s="143">
        <f>SUM(J519:J522)</f>
        <v>0</v>
      </c>
      <c r="K523" s="46">
        <f>SUM(K519:K522)</f>
        <v>30000</v>
      </c>
      <c r="L523" s="46">
        <f>SUM(L519:L522)</f>
        <v>30000</v>
      </c>
      <c r="M523" s="46">
        <f>SUM(M519:M522)</f>
        <v>55000</v>
      </c>
    </row>
    <row r="524" spans="1:13" ht="18" customHeight="1">
      <c r="A524" s="139"/>
      <c r="B524" s="140"/>
      <c r="C524" s="140"/>
      <c r="D524" s="140"/>
      <c r="E524" s="140"/>
      <c r="F524" s="141"/>
      <c r="G524" s="142"/>
      <c r="H524" s="169"/>
      <c r="I524" s="143"/>
      <c r="J524" s="46"/>
      <c r="K524" s="46"/>
      <c r="L524" s="46"/>
      <c r="M524" s="46"/>
    </row>
    <row r="525" spans="1:13" ht="18" customHeight="1">
      <c r="A525" s="146" t="s">
        <v>187</v>
      </c>
      <c r="B525" s="148"/>
      <c r="C525" s="148"/>
      <c r="D525" s="148"/>
      <c r="E525" s="148"/>
      <c r="F525" s="149"/>
      <c r="G525" s="166"/>
      <c r="H525" s="170"/>
      <c r="I525" s="152">
        <f>SUM(I523+I517+I508)</f>
        <v>3216410.83</v>
      </c>
      <c r="J525" s="152">
        <f>SUM(J523+J517+J508)</f>
        <v>1248523.3900000001</v>
      </c>
      <c r="K525" s="152">
        <f>SUM(K523+K517+K508)</f>
        <v>2650903.0099999998</v>
      </c>
      <c r="L525" s="152">
        <f>SUM(L523+L517+L508)</f>
        <v>3899426.4</v>
      </c>
      <c r="M525" s="152">
        <f>SUM(M523+M517+M508)</f>
        <v>4227695</v>
      </c>
    </row>
    <row r="526" spans="1:13" s="97" customFormat="1" ht="18" customHeight="1">
      <c r="A526" s="386"/>
      <c r="B526" s="386"/>
      <c r="C526" s="386"/>
      <c r="D526" s="386"/>
      <c r="E526" s="386"/>
      <c r="F526" s="386"/>
      <c r="G526" s="386"/>
      <c r="H526" s="386"/>
      <c r="I526" s="386"/>
      <c r="J526" s="386"/>
      <c r="K526" s="386"/>
      <c r="L526" s="386"/>
      <c r="M526" s="386"/>
    </row>
    <row r="527" spans="1:13" s="97" customFormat="1" ht="18" customHeight="1">
      <c r="A527" s="241" t="s">
        <v>490</v>
      </c>
      <c r="B527" s="241"/>
      <c r="C527" s="241"/>
      <c r="D527" s="241"/>
      <c r="E527" s="241"/>
      <c r="F527" s="241"/>
      <c r="G527" s="241"/>
      <c r="H527" s="241"/>
      <c r="I527" s="241"/>
      <c r="J527" s="241"/>
      <c r="K527" s="241"/>
      <c r="L527" s="241"/>
      <c r="M527" s="241"/>
    </row>
    <row r="528" spans="1:13" s="97" customFormat="1" ht="18" customHeight="1">
      <c r="A528" s="93"/>
      <c r="B528" s="94"/>
      <c r="C528" s="93"/>
      <c r="D528" s="93"/>
      <c r="E528" s="93"/>
      <c r="F528" s="95"/>
      <c r="G528" s="93"/>
      <c r="H528" s="96"/>
      <c r="I528" s="96"/>
      <c r="J528" s="92"/>
      <c r="K528" s="61"/>
      <c r="L528" s="61"/>
      <c r="M528" s="55"/>
    </row>
    <row r="529" spans="1:13" s="97" customFormat="1" ht="18" customHeight="1">
      <c r="A529" s="242" t="s">
        <v>491</v>
      </c>
      <c r="B529" s="242"/>
      <c r="C529" s="92"/>
      <c r="D529" s="242"/>
      <c r="E529" s="242"/>
      <c r="F529" s="92"/>
      <c r="G529" s="242"/>
      <c r="H529" s="242"/>
      <c r="I529" s="242" t="s">
        <v>492</v>
      </c>
      <c r="J529" s="242"/>
      <c r="K529" s="242"/>
      <c r="L529" s="242" t="s">
        <v>493</v>
      </c>
      <c r="M529" s="242"/>
    </row>
    <row r="530" spans="1:13" s="97" customFormat="1" ht="18" customHeight="1">
      <c r="A530" s="93"/>
      <c r="B530" s="94"/>
      <c r="C530" s="92"/>
      <c r="D530" s="93"/>
      <c r="E530" s="93"/>
      <c r="F530" s="92"/>
      <c r="G530" s="93"/>
      <c r="H530" s="92"/>
      <c r="I530" s="93"/>
      <c r="J530" s="96"/>
      <c r="K530" s="60"/>
      <c r="L530" s="95"/>
      <c r="M530" s="61"/>
    </row>
    <row r="531" spans="1:13" s="97" customFormat="1" ht="18" customHeight="1">
      <c r="A531" s="404" t="s">
        <v>509</v>
      </c>
      <c r="B531" s="404"/>
      <c r="C531" s="404"/>
      <c r="D531" s="404"/>
      <c r="E531" s="404"/>
      <c r="F531" s="404"/>
      <c r="G531" s="94"/>
      <c r="H531" s="243"/>
      <c r="I531" s="404" t="s">
        <v>494</v>
      </c>
      <c r="J531" s="404"/>
      <c r="K531" s="58"/>
      <c r="L531" s="404" t="s">
        <v>328</v>
      </c>
      <c r="M531" s="404"/>
    </row>
    <row r="532" spans="1:13" s="97" customFormat="1" ht="18" customHeight="1">
      <c r="A532" s="405" t="s">
        <v>495</v>
      </c>
      <c r="B532" s="405"/>
      <c r="C532" s="405"/>
      <c r="D532" s="405"/>
      <c r="E532" s="405"/>
      <c r="F532" s="405"/>
      <c r="G532" s="15"/>
      <c r="H532" s="15"/>
      <c r="I532" s="406" t="s">
        <v>496</v>
      </c>
      <c r="J532" s="406"/>
      <c r="K532" s="15"/>
      <c r="L532" s="405" t="s">
        <v>497</v>
      </c>
      <c r="M532" s="405"/>
    </row>
    <row r="533" spans="1:13" s="97" customFormat="1" ht="18" customHeight="1">
      <c r="A533" s="98"/>
      <c r="B533" s="98"/>
      <c r="C533" s="98"/>
      <c r="D533" s="98"/>
      <c r="E533" s="98"/>
      <c r="F533" s="98"/>
      <c r="G533" s="98"/>
      <c r="H533" s="98"/>
      <c r="I533" s="98"/>
      <c r="J533" s="98"/>
      <c r="K533" s="98"/>
      <c r="L533" s="98"/>
      <c r="M533" s="98"/>
    </row>
    <row r="534" spans="1:13" s="97" customFormat="1" ht="18" customHeight="1">
      <c r="A534" s="98"/>
      <c r="B534" s="98"/>
      <c r="C534" s="98"/>
      <c r="D534" s="98"/>
      <c r="E534" s="98"/>
      <c r="F534" s="98"/>
      <c r="G534" s="98"/>
      <c r="H534" s="98"/>
      <c r="I534" s="98"/>
      <c r="J534" s="98"/>
      <c r="K534" s="98"/>
      <c r="L534" s="98"/>
      <c r="M534" s="98"/>
    </row>
    <row r="535" spans="1:13" s="97" customFormat="1" ht="18" customHeight="1">
      <c r="A535" s="98"/>
      <c r="B535" s="98"/>
      <c r="C535" s="98"/>
      <c r="D535" s="98"/>
      <c r="E535" s="98"/>
      <c r="F535" s="98"/>
      <c r="G535" s="98"/>
      <c r="H535" s="98"/>
      <c r="I535" s="98"/>
      <c r="J535" s="98"/>
      <c r="K535" s="98"/>
      <c r="L535" s="98"/>
      <c r="M535" s="98"/>
    </row>
    <row r="536" spans="1:13" s="97" customFormat="1" ht="18" customHeight="1">
      <c r="A536" s="99"/>
      <c r="B536" s="100"/>
      <c r="C536" s="99"/>
      <c r="D536" s="99"/>
      <c r="E536" s="99"/>
      <c r="F536" s="99"/>
      <c r="G536" s="99"/>
      <c r="H536" s="96"/>
      <c r="I536" s="96"/>
      <c r="J536" s="55"/>
      <c r="K536" s="55"/>
      <c r="L536" s="55"/>
      <c r="M536" s="55"/>
    </row>
    <row r="537" spans="1:13" s="103" customFormat="1" ht="20.100000000000001" customHeight="1">
      <c r="A537" s="402"/>
      <c r="B537" s="402"/>
      <c r="C537" s="402"/>
      <c r="D537" s="402"/>
      <c r="E537" s="402"/>
      <c r="F537" s="402"/>
      <c r="G537" s="402"/>
      <c r="H537" s="402"/>
      <c r="I537" s="402"/>
      <c r="J537" s="402"/>
      <c r="K537" s="402"/>
      <c r="L537" s="402"/>
      <c r="M537" s="402"/>
    </row>
    <row r="538" spans="1:13" s="33" customFormat="1" ht="18" customHeight="1">
      <c r="A538" s="32"/>
      <c r="B538" s="31"/>
      <c r="C538" s="32"/>
      <c r="D538" s="32"/>
      <c r="E538" s="32"/>
      <c r="F538" s="32"/>
      <c r="G538" s="32"/>
      <c r="H538" s="54"/>
      <c r="I538" s="54"/>
      <c r="K538" s="61"/>
      <c r="L538" s="61"/>
      <c r="M538" s="55"/>
    </row>
    <row r="539" spans="1:13" s="92" customFormat="1" ht="18" customHeight="1">
      <c r="A539" s="94"/>
      <c r="B539" s="93"/>
      <c r="C539" s="93"/>
      <c r="D539" s="93"/>
      <c r="E539" s="93"/>
      <c r="F539" s="93"/>
      <c r="G539" s="93"/>
      <c r="H539" s="93"/>
      <c r="I539" s="93"/>
      <c r="J539" s="93"/>
      <c r="K539" s="93"/>
      <c r="L539" s="93"/>
      <c r="M539" s="104"/>
    </row>
    <row r="540" spans="1:13" s="81" customFormat="1" ht="15" customHeight="1">
      <c r="A540" s="399" t="s">
        <v>481</v>
      </c>
      <c r="B540" s="399"/>
      <c r="C540" s="399"/>
      <c r="D540" s="399"/>
      <c r="E540" s="399"/>
      <c r="F540" s="399"/>
      <c r="G540" s="399"/>
      <c r="H540" s="399"/>
      <c r="I540" s="399"/>
      <c r="J540" s="399"/>
      <c r="K540" s="399"/>
      <c r="L540" s="399"/>
      <c r="M540" s="399"/>
    </row>
    <row r="541" spans="1:13" s="81" customFormat="1" ht="15" customHeight="1">
      <c r="A541" s="15"/>
      <c r="B541" s="15"/>
      <c r="C541" s="15"/>
      <c r="D541" s="15"/>
      <c r="E541" s="15"/>
      <c r="F541" s="15"/>
      <c r="G541" s="15"/>
      <c r="H541" s="15"/>
      <c r="I541" s="15"/>
      <c r="J541" s="15"/>
      <c r="K541" s="15"/>
      <c r="L541" s="15"/>
      <c r="M541" s="15"/>
    </row>
    <row r="542" spans="1:13" s="81" customFormat="1" ht="15" customHeight="1">
      <c r="A542" s="238" t="s">
        <v>482</v>
      </c>
      <c r="B542" s="238"/>
      <c r="C542" s="238"/>
      <c r="D542" s="239"/>
      <c r="E542" s="239"/>
      <c r="F542" s="238" t="s">
        <v>483</v>
      </c>
      <c r="G542" s="238"/>
      <c r="H542" s="238"/>
      <c r="I542" s="238"/>
      <c r="J542" s="238" t="s">
        <v>484</v>
      </c>
      <c r="K542" s="238" t="str">
        <f>$K$9</f>
        <v>2025</v>
      </c>
      <c r="L542" s="238"/>
      <c r="M542" s="238"/>
    </row>
    <row r="543" spans="1:13" s="81" customFormat="1" ht="15" customHeight="1">
      <c r="A543" s="238" t="s">
        <v>485</v>
      </c>
      <c r="B543" s="238"/>
      <c r="C543" s="238"/>
      <c r="D543" s="239"/>
      <c r="E543" s="238"/>
      <c r="F543" s="238" t="s">
        <v>486</v>
      </c>
      <c r="G543" s="238"/>
      <c r="H543" s="238"/>
      <c r="I543" s="238"/>
      <c r="J543" s="238" t="s">
        <v>487</v>
      </c>
      <c r="K543" s="94" t="s">
        <v>510</v>
      </c>
      <c r="L543" s="238"/>
      <c r="M543" s="238"/>
    </row>
    <row r="544" spans="1:13" s="81" customFormat="1" ht="15" customHeight="1">
      <c r="A544" s="238" t="s">
        <v>489</v>
      </c>
      <c r="B544" s="238"/>
      <c r="C544" s="238"/>
      <c r="D544" s="238"/>
      <c r="E544" s="238"/>
      <c r="F544" s="238"/>
      <c r="G544" s="238"/>
      <c r="H544" s="238"/>
      <c r="I544" s="238"/>
      <c r="J544" s="238"/>
      <c r="K544" s="238"/>
      <c r="L544" s="238"/>
      <c r="M544" s="238"/>
    </row>
    <row r="545" spans="1:13" s="81" customFormat="1" ht="15" customHeight="1">
      <c r="A545" s="82"/>
      <c r="B545" s="82"/>
      <c r="C545" s="82"/>
      <c r="D545" s="82"/>
      <c r="E545" s="82"/>
      <c r="F545" s="82"/>
      <c r="G545" s="82"/>
      <c r="H545" s="82"/>
      <c r="I545" s="82"/>
      <c r="J545" s="82"/>
      <c r="K545" s="82"/>
      <c r="L545" s="82"/>
      <c r="M545" s="82"/>
    </row>
    <row r="546" spans="1:13" s="33" customFormat="1" ht="18" customHeight="1" thickBot="1">
      <c r="A546" s="400"/>
      <c r="B546" s="400"/>
      <c r="C546" s="400"/>
      <c r="D546" s="400"/>
      <c r="E546" s="400"/>
      <c r="F546" s="400"/>
      <c r="G546" s="400"/>
      <c r="H546" s="400"/>
      <c r="I546" s="400"/>
      <c r="J546" s="400"/>
      <c r="K546" s="400"/>
      <c r="L546" s="400"/>
      <c r="M546" s="400"/>
    </row>
    <row r="547" spans="1:13" ht="18" customHeight="1">
      <c r="A547" s="192"/>
      <c r="B547" s="193"/>
      <c r="C547" s="193"/>
      <c r="D547" s="193"/>
      <c r="E547" s="193"/>
      <c r="F547" s="194"/>
      <c r="G547" s="195"/>
      <c r="H547" s="196"/>
      <c r="I547" s="196" t="s">
        <v>3</v>
      </c>
      <c r="J547" s="394" t="s">
        <v>188</v>
      </c>
      <c r="K547" s="395"/>
      <c r="L547" s="396"/>
      <c r="M547" s="197" t="s">
        <v>4</v>
      </c>
    </row>
    <row r="548" spans="1:13" ht="18" customHeight="1">
      <c r="A548" s="388"/>
      <c r="B548" s="389"/>
      <c r="C548" s="389"/>
      <c r="D548" s="389"/>
      <c r="E548" s="389"/>
      <c r="F548" s="390"/>
      <c r="G548" s="199"/>
      <c r="H548" s="200"/>
      <c r="I548" s="200">
        <v>2023</v>
      </c>
      <c r="J548" s="200" t="s">
        <v>137</v>
      </c>
      <c r="K548" s="200" t="s">
        <v>138</v>
      </c>
      <c r="L548" s="200">
        <v>2024</v>
      </c>
      <c r="M548" s="201">
        <v>2025</v>
      </c>
    </row>
    <row r="549" spans="1:13" ht="18" customHeight="1">
      <c r="A549" s="388" t="s">
        <v>8</v>
      </c>
      <c r="B549" s="389"/>
      <c r="C549" s="389"/>
      <c r="D549" s="389"/>
      <c r="E549" s="389"/>
      <c r="F549" s="390"/>
      <c r="G549" s="202"/>
      <c r="H549" s="203" t="s">
        <v>186</v>
      </c>
      <c r="I549" s="200" t="s">
        <v>311</v>
      </c>
      <c r="J549" s="200" t="s">
        <v>136</v>
      </c>
      <c r="K549" s="200" t="s">
        <v>139</v>
      </c>
      <c r="L549" s="200" t="s">
        <v>311</v>
      </c>
      <c r="M549" s="201" t="s">
        <v>311</v>
      </c>
    </row>
    <row r="550" spans="1:13" ht="18" customHeight="1">
      <c r="A550" s="204"/>
      <c r="B550" s="99"/>
      <c r="C550" s="99"/>
      <c r="D550" s="99"/>
      <c r="E550" s="99"/>
      <c r="F550" s="205"/>
      <c r="G550" s="202"/>
      <c r="H550" s="200"/>
      <c r="I550" s="200" t="s">
        <v>136</v>
      </c>
      <c r="J550" s="200">
        <v>2024</v>
      </c>
      <c r="K550" s="200">
        <v>2024</v>
      </c>
      <c r="L550" s="200" t="s">
        <v>312</v>
      </c>
      <c r="M550" s="201" t="s">
        <v>140</v>
      </c>
    </row>
    <row r="551" spans="1:13" ht="18" customHeight="1" thickBot="1">
      <c r="A551" s="391"/>
      <c r="B551" s="392"/>
      <c r="C551" s="392"/>
      <c r="D551" s="392"/>
      <c r="E551" s="392"/>
      <c r="F551" s="393"/>
      <c r="G551" s="206"/>
      <c r="H551" s="207"/>
      <c r="I551" s="207"/>
      <c r="J551" s="207"/>
      <c r="K551" s="207"/>
      <c r="L551" s="207"/>
      <c r="M551" s="208"/>
    </row>
    <row r="552" spans="1:13" ht="18" customHeight="1">
      <c r="A552" s="209"/>
      <c r="B552" s="210" t="s">
        <v>51</v>
      </c>
      <c r="C552" s="211"/>
      <c r="D552" s="210"/>
      <c r="E552" s="210"/>
      <c r="F552" s="212"/>
      <c r="G552" s="213"/>
      <c r="H552" s="225"/>
      <c r="I552" s="226"/>
      <c r="J552" s="62"/>
      <c r="K552" s="62"/>
      <c r="L552" s="62"/>
      <c r="M552" s="62"/>
    </row>
    <row r="553" spans="1:13" ht="18" customHeight="1">
      <c r="A553" s="133"/>
      <c r="B553" s="127"/>
      <c r="C553" s="127" t="s">
        <v>102</v>
      </c>
      <c r="D553" s="127"/>
      <c r="E553" s="127"/>
      <c r="F553" s="128"/>
      <c r="G553" s="129"/>
      <c r="H553" s="167"/>
      <c r="I553" s="168"/>
      <c r="J553" s="63"/>
      <c r="K553" s="63"/>
      <c r="L553" s="63"/>
      <c r="M553" s="63"/>
    </row>
    <row r="554" spans="1:13" s="97" customFormat="1" ht="18" customHeight="1">
      <c r="A554" s="133"/>
      <c r="B554" s="127"/>
      <c r="C554" s="127"/>
      <c r="D554" s="127" t="s">
        <v>103</v>
      </c>
      <c r="E554" s="127"/>
      <c r="F554" s="128"/>
      <c r="G554" s="129" t="s">
        <v>156</v>
      </c>
      <c r="H554" s="130" t="s">
        <v>196</v>
      </c>
      <c r="I554" s="135">
        <v>2963289.46</v>
      </c>
      <c r="J554" s="39">
        <v>1484053.5</v>
      </c>
      <c r="K554" s="39">
        <f>3486143-J554</f>
        <v>2002089.5</v>
      </c>
      <c r="L554" s="39">
        <f>SUM(K554+J554)</f>
        <v>3486143</v>
      </c>
      <c r="M554" s="39">
        <v>3847592</v>
      </c>
    </row>
    <row r="555" spans="1:13" s="97" customFormat="1" ht="18" customHeight="1">
      <c r="A555" s="133"/>
      <c r="B555" s="127"/>
      <c r="C555" s="127" t="s">
        <v>104</v>
      </c>
      <c r="D555" s="127"/>
      <c r="E555" s="127"/>
      <c r="F555" s="128"/>
      <c r="G555" s="129"/>
      <c r="H555" s="167"/>
      <c r="I555" s="135"/>
      <c r="J555" s="39"/>
      <c r="K555" s="39"/>
      <c r="L555" s="39"/>
      <c r="M555" s="39"/>
    </row>
    <row r="556" spans="1:13" s="97" customFormat="1" ht="18" customHeight="1">
      <c r="A556" s="133"/>
      <c r="B556" s="127"/>
      <c r="C556" s="127"/>
      <c r="D556" s="127" t="s">
        <v>105</v>
      </c>
      <c r="E556" s="127"/>
      <c r="F556" s="128"/>
      <c r="G556" s="129" t="s">
        <v>157</v>
      </c>
      <c r="H556" s="130" t="s">
        <v>197</v>
      </c>
      <c r="I556" s="135">
        <v>265818.18</v>
      </c>
      <c r="J556" s="39">
        <v>132000</v>
      </c>
      <c r="K556" s="39">
        <f>312000-J556</f>
        <v>180000</v>
      </c>
      <c r="L556" s="39">
        <f t="shared" ref="L556:L574" si="37">SUM(K556+J556)</f>
        <v>312000</v>
      </c>
      <c r="M556" s="39">
        <v>312000</v>
      </c>
    </row>
    <row r="557" spans="1:13" s="97" customFormat="1" ht="18" customHeight="1">
      <c r="A557" s="133"/>
      <c r="B557" s="127"/>
      <c r="C557" s="127"/>
      <c r="D557" s="127" t="s">
        <v>107</v>
      </c>
      <c r="E557" s="127"/>
      <c r="F557" s="128"/>
      <c r="G557" s="129" t="s">
        <v>158</v>
      </c>
      <c r="H557" s="130" t="s">
        <v>198</v>
      </c>
      <c r="I557" s="135">
        <v>76500</v>
      </c>
      <c r="J557" s="39">
        <v>43350</v>
      </c>
      <c r="K557" s="39">
        <f>86700-J557</f>
        <v>43350</v>
      </c>
      <c r="L557" s="39">
        <f t="shared" si="37"/>
        <v>86700</v>
      </c>
      <c r="M557" s="39">
        <v>86700</v>
      </c>
    </row>
    <row r="558" spans="1:13" s="97" customFormat="1" ht="18" customHeight="1">
      <c r="A558" s="133"/>
      <c r="B558" s="127"/>
      <c r="C558" s="127"/>
      <c r="D558" s="127" t="s">
        <v>106</v>
      </c>
      <c r="E558" s="127"/>
      <c r="F558" s="128"/>
      <c r="G558" s="129" t="s">
        <v>159</v>
      </c>
      <c r="H558" s="130" t="s">
        <v>199</v>
      </c>
      <c r="I558" s="135">
        <v>76500</v>
      </c>
      <c r="J558" s="39">
        <v>43350</v>
      </c>
      <c r="K558" s="39">
        <f>86700-J558</f>
        <v>43350</v>
      </c>
      <c r="L558" s="39">
        <f t="shared" si="37"/>
        <v>86700</v>
      </c>
      <c r="M558" s="39">
        <v>86700</v>
      </c>
    </row>
    <row r="559" spans="1:13" s="97" customFormat="1" ht="18" customHeight="1">
      <c r="A559" s="133"/>
      <c r="B559" s="127"/>
      <c r="C559" s="127"/>
      <c r="D559" s="127" t="s">
        <v>108</v>
      </c>
      <c r="E559" s="127"/>
      <c r="F559" s="128"/>
      <c r="G559" s="129" t="s">
        <v>160</v>
      </c>
      <c r="H559" s="130" t="s">
        <v>200</v>
      </c>
      <c r="I559" s="135">
        <v>66000</v>
      </c>
      <c r="J559" s="39">
        <v>77000</v>
      </c>
      <c r="K559" s="39">
        <f>91000-J559</f>
        <v>14000</v>
      </c>
      <c r="L559" s="39">
        <f t="shared" si="37"/>
        <v>91000</v>
      </c>
      <c r="M559" s="39">
        <v>91000</v>
      </c>
    </row>
    <row r="560" spans="1:13" s="97" customFormat="1" ht="18" customHeight="1">
      <c r="A560" s="133"/>
      <c r="B560" s="127"/>
      <c r="C560" s="127"/>
      <c r="D560" s="127" t="s">
        <v>194</v>
      </c>
      <c r="E560" s="127"/>
      <c r="F560" s="128"/>
      <c r="G560" s="129" t="s">
        <v>162</v>
      </c>
      <c r="H560" s="130" t="s">
        <v>201</v>
      </c>
      <c r="I560" s="135">
        <v>52000</v>
      </c>
      <c r="J560" s="39">
        <v>0</v>
      </c>
      <c r="K560" s="39">
        <f>65000-J560</f>
        <v>65000</v>
      </c>
      <c r="L560" s="39">
        <f t="shared" si="37"/>
        <v>65000</v>
      </c>
      <c r="M560" s="39">
        <v>65000</v>
      </c>
    </row>
    <row r="561" spans="1:13" s="97" customFormat="1" ht="18" customHeight="1">
      <c r="A561" s="133"/>
      <c r="B561" s="127"/>
      <c r="C561" s="127"/>
      <c r="D561" s="127" t="s">
        <v>110</v>
      </c>
      <c r="E561" s="127"/>
      <c r="F561" s="128"/>
      <c r="G561" s="129" t="s">
        <v>92</v>
      </c>
      <c r="H561" s="130" t="s">
        <v>202</v>
      </c>
      <c r="I561" s="135">
        <v>10000</v>
      </c>
      <c r="J561" s="39">
        <v>0</v>
      </c>
      <c r="K561" s="39">
        <f>10000-J561</f>
        <v>10000</v>
      </c>
      <c r="L561" s="39">
        <f t="shared" si="37"/>
        <v>10000</v>
      </c>
      <c r="M561" s="39">
        <v>0</v>
      </c>
    </row>
    <row r="562" spans="1:13" s="97" customFormat="1" ht="18" customHeight="1">
      <c r="A562" s="133"/>
      <c r="B562" s="127"/>
      <c r="C562" s="127"/>
      <c r="D562" s="127" t="s">
        <v>354</v>
      </c>
      <c r="E562" s="127"/>
      <c r="F562" s="128"/>
      <c r="G562" s="129" t="s">
        <v>92</v>
      </c>
      <c r="H562" s="130" t="s">
        <v>202</v>
      </c>
      <c r="I562" s="135"/>
      <c r="J562" s="39"/>
      <c r="K562" s="39">
        <f>0-J562</f>
        <v>0</v>
      </c>
      <c r="L562" s="39">
        <f t="shared" si="37"/>
        <v>0</v>
      </c>
      <c r="M562" s="39">
        <v>0</v>
      </c>
    </row>
    <row r="563" spans="1:13" s="97" customFormat="1" ht="18" customHeight="1">
      <c r="A563" s="133"/>
      <c r="B563" s="127"/>
      <c r="C563" s="127"/>
      <c r="D563" s="127" t="s">
        <v>421</v>
      </c>
      <c r="E563" s="127"/>
      <c r="F563" s="128"/>
      <c r="G563" s="129"/>
      <c r="H563" s="130" t="s">
        <v>202</v>
      </c>
      <c r="I563" s="135"/>
      <c r="J563" s="39">
        <v>0</v>
      </c>
      <c r="K563" s="39">
        <f>0-J563</f>
        <v>0</v>
      </c>
      <c r="L563" s="39">
        <f t="shared" si="37"/>
        <v>0</v>
      </c>
      <c r="M563" s="39">
        <v>91000</v>
      </c>
    </row>
    <row r="564" spans="1:13" s="97" customFormat="1" ht="18" customHeight="1">
      <c r="A564" s="133"/>
      <c r="B564" s="127"/>
      <c r="C564" s="127"/>
      <c r="D564" s="127" t="s">
        <v>52</v>
      </c>
      <c r="E564" s="127"/>
      <c r="F564" s="128"/>
      <c r="G564" s="129" t="s">
        <v>164</v>
      </c>
      <c r="H564" s="130" t="s">
        <v>219</v>
      </c>
      <c r="I564" s="135">
        <v>203529.67</v>
      </c>
      <c r="J564" s="39">
        <v>43048.75</v>
      </c>
      <c r="K564" s="39">
        <f>44000-J564</f>
        <v>951.25</v>
      </c>
      <c r="L564" s="39">
        <f t="shared" si="37"/>
        <v>44000</v>
      </c>
      <c r="M564" s="39">
        <v>200000</v>
      </c>
    </row>
    <row r="565" spans="1:13" s="97" customFormat="1" ht="18" customHeight="1">
      <c r="A565" s="133"/>
      <c r="B565" s="127"/>
      <c r="C565" s="127"/>
      <c r="D565" s="127" t="s">
        <v>112</v>
      </c>
      <c r="E565" s="127"/>
      <c r="F565" s="128"/>
      <c r="G565" s="129" t="s">
        <v>165</v>
      </c>
      <c r="H565" s="130" t="s">
        <v>203</v>
      </c>
      <c r="I565" s="135">
        <v>55000</v>
      </c>
      <c r="J565" s="39">
        <v>0</v>
      </c>
      <c r="K565" s="39">
        <f>65000-J565</f>
        <v>65000</v>
      </c>
      <c r="L565" s="39">
        <f t="shared" si="37"/>
        <v>65000</v>
      </c>
      <c r="M565" s="39">
        <v>65000</v>
      </c>
    </row>
    <row r="566" spans="1:13" s="97" customFormat="1" ht="18" customHeight="1">
      <c r="A566" s="133"/>
      <c r="B566" s="127"/>
      <c r="C566" s="127"/>
      <c r="D566" s="127" t="s">
        <v>252</v>
      </c>
      <c r="E566" s="127"/>
      <c r="F566" s="127"/>
      <c r="G566" s="138" t="s">
        <v>92</v>
      </c>
      <c r="H566" s="130" t="s">
        <v>202</v>
      </c>
      <c r="I566" s="135">
        <v>256211</v>
      </c>
      <c r="J566" s="39">
        <v>247393</v>
      </c>
      <c r="K566" s="39">
        <f>284622-J566</f>
        <v>37229</v>
      </c>
      <c r="L566" s="39">
        <f t="shared" si="37"/>
        <v>284622</v>
      </c>
      <c r="M566" s="39">
        <v>316111</v>
      </c>
    </row>
    <row r="567" spans="1:13" s="97" customFormat="1" ht="18" customHeight="1">
      <c r="A567" s="133"/>
      <c r="B567" s="127"/>
      <c r="C567" s="127"/>
      <c r="D567" s="127" t="s">
        <v>113</v>
      </c>
      <c r="E567" s="127"/>
      <c r="F567" s="128"/>
      <c r="G567" s="129" t="s">
        <v>166</v>
      </c>
      <c r="H567" s="130" t="s">
        <v>204</v>
      </c>
      <c r="I567" s="135">
        <v>252005.6</v>
      </c>
      <c r="J567" s="39">
        <v>0</v>
      </c>
      <c r="K567" s="39">
        <f>298888-J567</f>
        <v>298888</v>
      </c>
      <c r="L567" s="39">
        <f t="shared" si="37"/>
        <v>298888</v>
      </c>
      <c r="M567" s="39">
        <v>329546</v>
      </c>
    </row>
    <row r="568" spans="1:13" s="97" customFormat="1" ht="18" customHeight="1">
      <c r="A568" s="133"/>
      <c r="B568" s="127"/>
      <c r="C568" s="127"/>
      <c r="D568" s="127" t="s">
        <v>190</v>
      </c>
      <c r="E568" s="127"/>
      <c r="F568" s="128"/>
      <c r="G568" s="129" t="s">
        <v>167</v>
      </c>
      <c r="H568" s="130" t="s">
        <v>205</v>
      </c>
      <c r="I568" s="135">
        <f>343873.4+11668.2</f>
        <v>355541.60000000003</v>
      </c>
      <c r="J568" s="39">
        <v>148390.44</v>
      </c>
      <c r="K568" s="39">
        <f>419000-J568</f>
        <v>270609.56</v>
      </c>
      <c r="L568" s="39">
        <f t="shared" si="37"/>
        <v>419000</v>
      </c>
      <c r="M568" s="39">
        <v>462000</v>
      </c>
    </row>
    <row r="569" spans="1:13" s="97" customFormat="1" ht="18" customHeight="1">
      <c r="A569" s="133"/>
      <c r="B569" s="127"/>
      <c r="C569" s="127"/>
      <c r="D569" s="127" t="s">
        <v>114</v>
      </c>
      <c r="E569" s="127"/>
      <c r="F569" s="128"/>
      <c r="G569" s="129" t="s">
        <v>168</v>
      </c>
      <c r="H569" s="130" t="s">
        <v>206</v>
      </c>
      <c r="I569" s="135">
        <f>12100+1100</f>
        <v>13200</v>
      </c>
      <c r="J569" s="39">
        <v>9900</v>
      </c>
      <c r="K569" s="39">
        <f>31200-J569</f>
        <v>21300</v>
      </c>
      <c r="L569" s="39">
        <f t="shared" si="37"/>
        <v>31200</v>
      </c>
      <c r="M569" s="39">
        <v>31200</v>
      </c>
    </row>
    <row r="570" spans="1:13" s="97" customFormat="1" ht="18" customHeight="1">
      <c r="A570" s="133"/>
      <c r="B570" s="127"/>
      <c r="C570" s="127"/>
      <c r="D570" s="127" t="s">
        <v>115</v>
      </c>
      <c r="E570" s="127"/>
      <c r="F570" s="128"/>
      <c r="G570" s="129" t="s">
        <v>169</v>
      </c>
      <c r="H570" s="130" t="s">
        <v>207</v>
      </c>
      <c r="I570" s="135">
        <v>58264.24</v>
      </c>
      <c r="J570" s="39">
        <v>30916.05</v>
      </c>
      <c r="K570" s="39">
        <f>88000-J570</f>
        <v>57083.95</v>
      </c>
      <c r="L570" s="39">
        <f t="shared" si="37"/>
        <v>88000</v>
      </c>
      <c r="M570" s="39">
        <v>97000</v>
      </c>
    </row>
    <row r="571" spans="1:13" s="97" customFormat="1" ht="18" customHeight="1">
      <c r="A571" s="133"/>
      <c r="B571" s="127"/>
      <c r="C571" s="127"/>
      <c r="D571" s="127" t="s">
        <v>189</v>
      </c>
      <c r="E571" s="127"/>
      <c r="F571" s="128"/>
      <c r="G571" s="129" t="s">
        <v>170</v>
      </c>
      <c r="H571" s="130" t="s">
        <v>208</v>
      </c>
      <c r="I571" s="135">
        <v>13200</v>
      </c>
      <c r="J571" s="39">
        <v>5500</v>
      </c>
      <c r="K571" s="39">
        <f>15600-J571</f>
        <v>10100</v>
      </c>
      <c r="L571" s="39">
        <f t="shared" si="37"/>
        <v>15600</v>
      </c>
      <c r="M571" s="39">
        <v>15600</v>
      </c>
    </row>
    <row r="572" spans="1:13" s="97" customFormat="1" ht="18" customHeight="1">
      <c r="A572" s="133"/>
      <c r="B572" s="127"/>
      <c r="C572" s="127"/>
      <c r="D572" s="127" t="s">
        <v>54</v>
      </c>
      <c r="E572" s="127"/>
      <c r="F572" s="128"/>
      <c r="G572" s="129" t="s">
        <v>67</v>
      </c>
      <c r="H572" s="130" t="s">
        <v>220</v>
      </c>
      <c r="I572" s="135">
        <v>62189.31</v>
      </c>
      <c r="J572" s="39"/>
      <c r="K572" s="39">
        <f>0-J572</f>
        <v>0</v>
      </c>
      <c r="L572" s="39">
        <f t="shared" si="37"/>
        <v>0</v>
      </c>
      <c r="M572" s="39">
        <v>0</v>
      </c>
    </row>
    <row r="573" spans="1:13" s="97" customFormat="1" ht="18" customHeight="1">
      <c r="A573" s="133"/>
      <c r="B573" s="127"/>
      <c r="C573" s="127"/>
      <c r="D573" s="127" t="s">
        <v>117</v>
      </c>
      <c r="E573" s="127"/>
      <c r="F573" s="128"/>
      <c r="G573" s="129" t="s">
        <v>67</v>
      </c>
      <c r="H573" s="130" t="s">
        <v>220</v>
      </c>
      <c r="I573" s="135">
        <v>0</v>
      </c>
      <c r="J573" s="39">
        <v>734674.79</v>
      </c>
      <c r="K573" s="39">
        <f>734674.79-J573</f>
        <v>0</v>
      </c>
      <c r="L573" s="39">
        <f t="shared" si="37"/>
        <v>734674.79</v>
      </c>
      <c r="M573" s="39">
        <v>0</v>
      </c>
    </row>
    <row r="574" spans="1:13" ht="18" customHeight="1">
      <c r="A574" s="133"/>
      <c r="B574" s="127"/>
      <c r="C574" s="127"/>
      <c r="D574" s="127" t="s">
        <v>343</v>
      </c>
      <c r="E574" s="127"/>
      <c r="F574" s="128"/>
      <c r="G574" s="129"/>
      <c r="H574" s="130" t="s">
        <v>220</v>
      </c>
      <c r="I574" s="135">
        <v>206000</v>
      </c>
      <c r="J574" s="39">
        <v>0</v>
      </c>
      <c r="K574" s="39">
        <f>248000-J574</f>
        <v>248000</v>
      </c>
      <c r="L574" s="39">
        <f t="shared" si="37"/>
        <v>248000</v>
      </c>
      <c r="M574" s="39">
        <v>0</v>
      </c>
    </row>
    <row r="575" spans="1:13" ht="18" customHeight="1">
      <c r="A575" s="133"/>
      <c r="B575" s="127"/>
      <c r="C575" s="127"/>
      <c r="D575" s="191" t="s">
        <v>423</v>
      </c>
      <c r="E575" s="127"/>
      <c r="F575" s="128"/>
      <c r="G575" s="129"/>
      <c r="H575" s="130" t="s">
        <v>220</v>
      </c>
      <c r="I575" s="135">
        <v>342500</v>
      </c>
      <c r="J575" s="39"/>
      <c r="K575" s="39">
        <f>377500-J575</f>
        <v>377500</v>
      </c>
      <c r="L575" s="39">
        <f t="shared" ref="L575" si="38">SUM(K575+J575)</f>
        <v>377500</v>
      </c>
      <c r="M575" s="39">
        <v>0</v>
      </c>
    </row>
    <row r="576" spans="1:13" s="97" customFormat="1" ht="18" customHeight="1">
      <c r="A576" s="139"/>
      <c r="B576" s="140"/>
      <c r="C576" s="140"/>
      <c r="D576" s="140" t="s">
        <v>53</v>
      </c>
      <c r="E576" s="140"/>
      <c r="F576" s="141"/>
      <c r="G576" s="142"/>
      <c r="H576" s="169"/>
      <c r="I576" s="143">
        <f>SUM(I554:I575)</f>
        <v>5327749.0599999996</v>
      </c>
      <c r="J576" s="143">
        <f t="shared" ref="J576:M576" si="39">SUM(J554:J575)</f>
        <v>2999576.53</v>
      </c>
      <c r="K576" s="143">
        <f t="shared" si="39"/>
        <v>3744451.2600000002</v>
      </c>
      <c r="L576" s="143">
        <f t="shared" si="39"/>
        <v>6744027.79</v>
      </c>
      <c r="M576" s="143">
        <f t="shared" si="39"/>
        <v>6096449</v>
      </c>
    </row>
    <row r="577" spans="1:13" s="97" customFormat="1" ht="18" customHeight="1">
      <c r="A577" s="133"/>
      <c r="B577" s="127" t="s">
        <v>118</v>
      </c>
      <c r="C577" s="127"/>
      <c r="D577" s="127"/>
      <c r="E577" s="127"/>
      <c r="F577" s="128"/>
      <c r="G577" s="129"/>
      <c r="H577" s="167"/>
      <c r="I577" s="135"/>
      <c r="J577" s="39"/>
      <c r="K577" s="39"/>
      <c r="L577" s="39"/>
      <c r="M577" s="39"/>
    </row>
    <row r="578" spans="1:13" s="97" customFormat="1" ht="18" customHeight="1">
      <c r="A578" s="133"/>
      <c r="B578" s="127"/>
      <c r="C578" s="127"/>
      <c r="D578" s="127" t="s">
        <v>119</v>
      </c>
      <c r="E578" s="127"/>
      <c r="F578" s="128"/>
      <c r="G578" s="129" t="s">
        <v>60</v>
      </c>
      <c r="H578" s="130" t="s">
        <v>210</v>
      </c>
      <c r="I578" s="135">
        <f>159307+2250</f>
        <v>161557</v>
      </c>
      <c r="J578" s="39">
        <v>62287.19</v>
      </c>
      <c r="K578" s="39">
        <f>185000-J578</f>
        <v>122712.81</v>
      </c>
      <c r="L578" s="39">
        <f t="shared" ref="L578:L587" si="40">SUM(K578+J578)</f>
        <v>185000</v>
      </c>
      <c r="M578" s="39">
        <v>150000</v>
      </c>
    </row>
    <row r="579" spans="1:13" s="97" customFormat="1" ht="18" customHeight="1">
      <c r="A579" s="133"/>
      <c r="B579" s="127"/>
      <c r="C579" s="127"/>
      <c r="D579" s="127" t="s">
        <v>91</v>
      </c>
      <c r="E579" s="127"/>
      <c r="F579" s="128"/>
      <c r="G579" s="129" t="s">
        <v>61</v>
      </c>
      <c r="H579" s="130" t="s">
        <v>211</v>
      </c>
      <c r="I579" s="135">
        <v>93521.23</v>
      </c>
      <c r="J579" s="39">
        <v>94500</v>
      </c>
      <c r="K579" s="39">
        <f>150000-J579</f>
        <v>55500</v>
      </c>
      <c r="L579" s="39">
        <f t="shared" si="40"/>
        <v>150000</v>
      </c>
      <c r="M579" s="39">
        <v>100000</v>
      </c>
    </row>
    <row r="580" spans="1:13" s="97" customFormat="1" ht="18" customHeight="1">
      <c r="A580" s="133"/>
      <c r="B580" s="127"/>
      <c r="C580" s="127"/>
      <c r="D580" s="127" t="s">
        <v>58</v>
      </c>
      <c r="E580" s="127"/>
      <c r="F580" s="128"/>
      <c r="G580" s="129" t="s">
        <v>63</v>
      </c>
      <c r="H580" s="130" t="s">
        <v>212</v>
      </c>
      <c r="I580" s="135">
        <v>94585</v>
      </c>
      <c r="J580" s="39">
        <v>44045.52</v>
      </c>
      <c r="K580" s="39">
        <f>213657.8-J580</f>
        <v>169612.28</v>
      </c>
      <c r="L580" s="39">
        <f t="shared" si="40"/>
        <v>213657.8</v>
      </c>
      <c r="M580" s="39">
        <v>300000</v>
      </c>
    </row>
    <row r="581" spans="1:13" s="97" customFormat="1" ht="18" customHeight="1">
      <c r="A581" s="133"/>
      <c r="B581" s="127"/>
      <c r="C581" s="127"/>
      <c r="D581" s="127" t="s">
        <v>120</v>
      </c>
      <c r="E581" s="127"/>
      <c r="F581" s="128"/>
      <c r="G581" s="129" t="s">
        <v>173</v>
      </c>
      <c r="H581" s="130" t="s">
        <v>221</v>
      </c>
      <c r="I581" s="135">
        <v>148475</v>
      </c>
      <c r="J581" s="39">
        <v>222380</v>
      </c>
      <c r="K581" s="39">
        <f>300000-J581</f>
        <v>77620</v>
      </c>
      <c r="L581" s="39">
        <f t="shared" si="40"/>
        <v>300000</v>
      </c>
      <c r="M581" s="39">
        <v>300000</v>
      </c>
    </row>
    <row r="582" spans="1:13" s="97" customFormat="1" ht="18" customHeight="1">
      <c r="A582" s="133"/>
      <c r="B582" s="127"/>
      <c r="C582" s="127"/>
      <c r="D582" s="127" t="s">
        <v>123</v>
      </c>
      <c r="E582" s="127"/>
      <c r="F582" s="128"/>
      <c r="G582" s="129" t="s">
        <v>175</v>
      </c>
      <c r="H582" s="130" t="s">
        <v>213</v>
      </c>
      <c r="I582" s="135">
        <v>2800</v>
      </c>
      <c r="J582" s="39">
        <v>0</v>
      </c>
      <c r="K582" s="39">
        <f>0-J582</f>
        <v>0</v>
      </c>
      <c r="L582" s="39">
        <f t="shared" si="40"/>
        <v>0</v>
      </c>
      <c r="M582" s="39">
        <v>5000</v>
      </c>
    </row>
    <row r="583" spans="1:13" s="97" customFormat="1" ht="18" customHeight="1">
      <c r="A583" s="133"/>
      <c r="B583" s="127"/>
      <c r="C583" s="127"/>
      <c r="D583" s="127" t="s">
        <v>125</v>
      </c>
      <c r="E583" s="127"/>
      <c r="F583" s="128"/>
      <c r="G583" s="129" t="s">
        <v>64</v>
      </c>
      <c r="H583" s="130" t="s">
        <v>214</v>
      </c>
      <c r="I583" s="135">
        <v>36000</v>
      </c>
      <c r="J583" s="39">
        <v>18000</v>
      </c>
      <c r="K583" s="39">
        <f>36000-J583</f>
        <v>18000</v>
      </c>
      <c r="L583" s="39">
        <f t="shared" si="40"/>
        <v>36000</v>
      </c>
      <c r="M583" s="39">
        <v>24000</v>
      </c>
    </row>
    <row r="584" spans="1:13" s="97" customFormat="1" ht="18" customHeight="1">
      <c r="A584" s="133"/>
      <c r="B584" s="127"/>
      <c r="C584" s="127"/>
      <c r="D584" s="127" t="s">
        <v>304</v>
      </c>
      <c r="E584" s="127"/>
      <c r="F584" s="128"/>
      <c r="G584" s="129" t="s">
        <v>65</v>
      </c>
      <c r="H584" s="130" t="s">
        <v>215</v>
      </c>
      <c r="I584" s="135">
        <f>32450+1800</f>
        <v>34250</v>
      </c>
      <c r="J584" s="39">
        <v>0</v>
      </c>
      <c r="K584" s="39">
        <f>50000-J584</f>
        <v>50000</v>
      </c>
      <c r="L584" s="39">
        <f t="shared" si="40"/>
        <v>50000</v>
      </c>
      <c r="M584" s="39">
        <v>100000</v>
      </c>
    </row>
    <row r="585" spans="1:13" s="97" customFormat="1" ht="18" customHeight="1">
      <c r="A585" s="133"/>
      <c r="B585" s="127"/>
      <c r="C585" s="127"/>
      <c r="D585" s="127" t="s">
        <v>130</v>
      </c>
      <c r="E585" s="127"/>
      <c r="F585" s="128"/>
      <c r="G585" s="129" t="s">
        <v>182</v>
      </c>
      <c r="H585" s="130" t="s">
        <v>229</v>
      </c>
      <c r="I585" s="135">
        <v>270993.13</v>
      </c>
      <c r="J585" s="39">
        <v>11250</v>
      </c>
      <c r="K585" s="39">
        <f>280000-J585</f>
        <v>268750</v>
      </c>
      <c r="L585" s="39">
        <f t="shared" si="40"/>
        <v>280000</v>
      </c>
      <c r="M585" s="39">
        <v>400000</v>
      </c>
    </row>
    <row r="586" spans="1:13" ht="18" customHeight="1">
      <c r="A586" s="133"/>
      <c r="B586" s="127"/>
      <c r="C586" s="127"/>
      <c r="D586" s="127" t="s">
        <v>131</v>
      </c>
      <c r="E586" s="127"/>
      <c r="F586" s="128"/>
      <c r="G586" s="129" t="s">
        <v>66</v>
      </c>
      <c r="H586" s="130" t="s">
        <v>216</v>
      </c>
      <c r="I586" s="135">
        <v>5220</v>
      </c>
      <c r="J586" s="39">
        <v>1800</v>
      </c>
      <c r="K586" s="39">
        <f>5000-J586</f>
        <v>3200</v>
      </c>
      <c r="L586" s="39">
        <f t="shared" si="40"/>
        <v>5000</v>
      </c>
      <c r="M586" s="39">
        <v>40000</v>
      </c>
    </row>
    <row r="587" spans="1:13" ht="18" customHeight="1">
      <c r="A587" s="133"/>
      <c r="B587" s="127"/>
      <c r="C587" s="127"/>
      <c r="D587" s="127" t="s">
        <v>366</v>
      </c>
      <c r="E587" s="127"/>
      <c r="F587" s="128"/>
      <c r="G587" s="129"/>
      <c r="H587" s="130" t="s">
        <v>216</v>
      </c>
      <c r="I587" s="135"/>
      <c r="J587" s="39"/>
      <c r="K587" s="39">
        <f>0-J587</f>
        <v>0</v>
      </c>
      <c r="L587" s="39">
        <f t="shared" si="40"/>
        <v>0</v>
      </c>
      <c r="M587" s="39">
        <v>0</v>
      </c>
    </row>
    <row r="588" spans="1:13" s="97" customFormat="1" ht="18" customHeight="1">
      <c r="A588" s="139"/>
      <c r="B588" s="140"/>
      <c r="C588" s="140"/>
      <c r="D588" s="140" t="s">
        <v>244</v>
      </c>
      <c r="E588" s="140"/>
      <c r="F588" s="141"/>
      <c r="G588" s="142"/>
      <c r="H588" s="169"/>
      <c r="I588" s="143">
        <f>SUM(I578:I587)</f>
        <v>847401.36</v>
      </c>
      <c r="J588" s="143">
        <f t="shared" ref="J588:M588" si="41">SUM(J578:J587)</f>
        <v>454262.70999999996</v>
      </c>
      <c r="K588" s="143">
        <f t="shared" si="41"/>
        <v>765395.09</v>
      </c>
      <c r="L588" s="143">
        <f t="shared" si="41"/>
        <v>1219657.8</v>
      </c>
      <c r="M588" s="143">
        <f t="shared" si="41"/>
        <v>1419000</v>
      </c>
    </row>
    <row r="589" spans="1:13" s="97" customFormat="1" ht="18" customHeight="1">
      <c r="A589" s="133"/>
      <c r="B589" s="127" t="s">
        <v>132</v>
      </c>
      <c r="C589" s="127"/>
      <c r="D589" s="127"/>
      <c r="E589" s="127"/>
      <c r="F589" s="128"/>
      <c r="G589" s="129"/>
      <c r="H589" s="167"/>
      <c r="I589" s="135"/>
      <c r="J589" s="39"/>
      <c r="K589" s="39"/>
      <c r="L589" s="39"/>
      <c r="M589" s="39"/>
    </row>
    <row r="590" spans="1:13" ht="18" customHeight="1">
      <c r="A590" s="133"/>
      <c r="B590" s="127"/>
      <c r="C590" s="127"/>
      <c r="D590" s="127" t="s">
        <v>195</v>
      </c>
      <c r="E590" s="127"/>
      <c r="F590" s="128"/>
      <c r="G590" s="129" t="s">
        <v>285</v>
      </c>
      <c r="H590" s="130" t="s">
        <v>286</v>
      </c>
      <c r="I590" s="135"/>
      <c r="J590" s="39">
        <v>0</v>
      </c>
      <c r="K590" s="39">
        <f>60000-J590</f>
        <v>60000</v>
      </c>
      <c r="L590" s="39">
        <f>SUM(K590+J590)</f>
        <v>60000</v>
      </c>
      <c r="M590" s="39"/>
    </row>
    <row r="591" spans="1:13" ht="18" customHeight="1">
      <c r="A591" s="133"/>
      <c r="B591" s="127"/>
      <c r="C591" s="127"/>
      <c r="D591" s="127" t="s">
        <v>284</v>
      </c>
      <c r="E591" s="127"/>
      <c r="F591" s="128"/>
      <c r="G591" s="129" t="s">
        <v>287</v>
      </c>
      <c r="H591" s="130" t="s">
        <v>348</v>
      </c>
      <c r="I591" s="135"/>
      <c r="J591" s="39">
        <v>0</v>
      </c>
      <c r="K591" s="39">
        <f>80000-J591</f>
        <v>80000</v>
      </c>
      <c r="L591" s="39">
        <f t="shared" ref="L591:L592" si="42">SUM(K591+J591)</f>
        <v>80000</v>
      </c>
      <c r="M591" s="39">
        <v>190000</v>
      </c>
    </row>
    <row r="592" spans="1:13" ht="18" customHeight="1">
      <c r="A592" s="133"/>
      <c r="B592" s="127"/>
      <c r="C592" s="127"/>
      <c r="D592" s="127" t="s">
        <v>292</v>
      </c>
      <c r="E592" s="127"/>
      <c r="F592" s="128"/>
      <c r="G592" s="129"/>
      <c r="H592" s="130" t="s">
        <v>293</v>
      </c>
      <c r="I592" s="135">
        <v>0</v>
      </c>
      <c r="J592" s="39">
        <v>0</v>
      </c>
      <c r="K592" s="39">
        <f t="shared" ref="K592:K593" si="43">0-J592</f>
        <v>0</v>
      </c>
      <c r="L592" s="39">
        <f t="shared" si="42"/>
        <v>0</v>
      </c>
      <c r="M592" s="39">
        <v>0</v>
      </c>
    </row>
    <row r="593" spans="1:13" ht="18" customHeight="1">
      <c r="A593" s="133"/>
      <c r="B593" s="127"/>
      <c r="C593" s="127"/>
      <c r="D593" s="127" t="s">
        <v>288</v>
      </c>
      <c r="E593" s="127"/>
      <c r="F593" s="128"/>
      <c r="G593" s="129" t="s">
        <v>289</v>
      </c>
      <c r="H593" s="130" t="s">
        <v>290</v>
      </c>
      <c r="I593" s="135">
        <v>0</v>
      </c>
      <c r="J593" s="39">
        <v>0</v>
      </c>
      <c r="K593" s="39">
        <f t="shared" si="43"/>
        <v>0</v>
      </c>
      <c r="L593" s="39">
        <f>SUM(K593+J593)</f>
        <v>0</v>
      </c>
      <c r="M593" s="39">
        <v>0</v>
      </c>
    </row>
    <row r="594" spans="1:13" ht="18" customHeight="1">
      <c r="A594" s="139"/>
      <c r="B594" s="140"/>
      <c r="C594" s="140"/>
      <c r="D594" s="140" t="s">
        <v>245</v>
      </c>
      <c r="E594" s="140"/>
      <c r="F594" s="141"/>
      <c r="G594" s="142"/>
      <c r="H594" s="169"/>
      <c r="I594" s="143">
        <f>SUM(I590:I593)</f>
        <v>0</v>
      </c>
      <c r="J594" s="46">
        <f>SUM(J590:J593)</f>
        <v>0</v>
      </c>
      <c r="K594" s="46">
        <f>SUM(K590:K593)</f>
        <v>140000</v>
      </c>
      <c r="L594" s="46">
        <f>SUM(L590:L593)</f>
        <v>140000</v>
      </c>
      <c r="M594" s="46">
        <f>SUM(M590:M593)</f>
        <v>190000</v>
      </c>
    </row>
    <row r="595" spans="1:13" s="92" customFormat="1" ht="18" customHeight="1">
      <c r="A595" s="139"/>
      <c r="B595" s="140"/>
      <c r="C595" s="140"/>
      <c r="D595" s="140"/>
      <c r="E595" s="140"/>
      <c r="F595" s="141"/>
      <c r="G595" s="142"/>
      <c r="H595" s="169"/>
      <c r="I595" s="143"/>
      <c r="J595" s="46"/>
      <c r="K595" s="46"/>
      <c r="L595" s="46"/>
      <c r="M595" s="46"/>
    </row>
    <row r="596" spans="1:13" s="92" customFormat="1" ht="18" customHeight="1">
      <c r="A596" s="146" t="s">
        <v>187</v>
      </c>
      <c r="B596" s="148"/>
      <c r="C596" s="148"/>
      <c r="D596" s="148"/>
      <c r="E596" s="148"/>
      <c r="F596" s="149"/>
      <c r="G596" s="166"/>
      <c r="H596" s="170"/>
      <c r="I596" s="152">
        <f>SUM(I594+I588+I576)</f>
        <v>6175150.4199999999</v>
      </c>
      <c r="J596" s="152">
        <f>SUM(J594+J588+J576)</f>
        <v>3453839.2399999998</v>
      </c>
      <c r="K596" s="152">
        <f>SUM(K594+K588+K576)</f>
        <v>4649846.3500000006</v>
      </c>
      <c r="L596" s="152">
        <f>SUM(L594+L588+L576)</f>
        <v>8103685.5899999999</v>
      </c>
      <c r="M596" s="152">
        <f>SUM(M594+M588+M576)</f>
        <v>7705449</v>
      </c>
    </row>
    <row r="597" spans="1:13" s="103" customFormat="1" ht="20.100000000000001" customHeight="1">
      <c r="A597" s="402"/>
      <c r="B597" s="402"/>
      <c r="C597" s="402"/>
      <c r="D597" s="402"/>
      <c r="E597" s="402"/>
      <c r="F597" s="402"/>
      <c r="G597" s="402"/>
      <c r="H597" s="402"/>
      <c r="I597" s="402"/>
      <c r="J597" s="402"/>
      <c r="K597" s="402"/>
      <c r="L597" s="402"/>
      <c r="M597" s="402"/>
    </row>
    <row r="598" spans="1:13" s="103" customFormat="1" ht="20.100000000000001" customHeight="1">
      <c r="A598" s="241" t="s">
        <v>490</v>
      </c>
      <c r="B598" s="241"/>
      <c r="C598" s="241"/>
      <c r="D598" s="241"/>
      <c r="E598" s="241"/>
      <c r="F598" s="241"/>
      <c r="G598" s="241"/>
      <c r="H598" s="241"/>
      <c r="I598" s="241"/>
      <c r="J598" s="241"/>
      <c r="K598" s="241"/>
      <c r="L598" s="241"/>
      <c r="M598" s="241"/>
    </row>
    <row r="599" spans="1:13" s="103" customFormat="1" ht="20.100000000000001" customHeight="1">
      <c r="A599" s="93"/>
      <c r="B599" s="94"/>
      <c r="C599" s="93"/>
      <c r="D599" s="93"/>
      <c r="E599" s="93"/>
      <c r="F599" s="95"/>
      <c r="G599" s="93"/>
      <c r="H599" s="96"/>
      <c r="I599" s="96"/>
      <c r="J599" s="92"/>
      <c r="K599" s="61"/>
      <c r="L599" s="61"/>
      <c r="M599" s="55"/>
    </row>
    <row r="600" spans="1:13" s="103" customFormat="1" ht="20.100000000000001" customHeight="1">
      <c r="A600" s="242" t="s">
        <v>491</v>
      </c>
      <c r="B600" s="242"/>
      <c r="C600" s="92"/>
      <c r="D600" s="242"/>
      <c r="E600" s="242"/>
      <c r="F600" s="92"/>
      <c r="G600" s="242"/>
      <c r="H600" s="242"/>
      <c r="I600" s="242" t="s">
        <v>492</v>
      </c>
      <c r="J600" s="242"/>
      <c r="K600" s="242"/>
      <c r="L600" s="242" t="s">
        <v>493</v>
      </c>
      <c r="M600" s="242"/>
    </row>
    <row r="601" spans="1:13" s="103" customFormat="1" ht="20.100000000000001" customHeight="1">
      <c r="A601" s="93"/>
      <c r="B601" s="94"/>
      <c r="C601" s="92"/>
      <c r="D601" s="93"/>
      <c r="E601" s="93"/>
      <c r="F601" s="92"/>
      <c r="G601" s="93"/>
      <c r="H601" s="92"/>
      <c r="I601" s="93"/>
      <c r="J601" s="96"/>
      <c r="K601" s="60"/>
      <c r="L601" s="95"/>
      <c r="M601" s="61"/>
    </row>
    <row r="602" spans="1:13" s="103" customFormat="1" ht="20.100000000000001" customHeight="1">
      <c r="A602" s="404" t="s">
        <v>511</v>
      </c>
      <c r="B602" s="404"/>
      <c r="C602" s="404"/>
      <c r="D602" s="404"/>
      <c r="E602" s="404"/>
      <c r="F602" s="404"/>
      <c r="G602" s="94"/>
      <c r="H602" s="243"/>
      <c r="I602" s="404" t="s">
        <v>494</v>
      </c>
      <c r="J602" s="404"/>
      <c r="K602" s="58"/>
      <c r="L602" s="404" t="s">
        <v>328</v>
      </c>
      <c r="M602" s="404"/>
    </row>
    <row r="603" spans="1:13" s="103" customFormat="1" ht="20.100000000000001" customHeight="1">
      <c r="A603" s="405" t="s">
        <v>495</v>
      </c>
      <c r="B603" s="405"/>
      <c r="C603" s="405"/>
      <c r="D603" s="405"/>
      <c r="E603" s="405"/>
      <c r="F603" s="405"/>
      <c r="G603" s="15"/>
      <c r="H603" s="15"/>
      <c r="I603" s="406" t="s">
        <v>496</v>
      </c>
      <c r="J603" s="406"/>
      <c r="K603" s="15"/>
      <c r="L603" s="405" t="s">
        <v>497</v>
      </c>
      <c r="M603" s="405"/>
    </row>
    <row r="604" spans="1:13" s="103" customFormat="1" ht="20.100000000000001" customHeight="1">
      <c r="A604" s="102"/>
      <c r="B604" s="102"/>
      <c r="C604" s="102"/>
      <c r="D604" s="102"/>
      <c r="E604" s="102"/>
      <c r="F604" s="102"/>
      <c r="G604" s="102"/>
      <c r="H604" s="102"/>
      <c r="I604" s="102"/>
      <c r="J604" s="102"/>
      <c r="K604" s="102"/>
      <c r="L604" s="102"/>
      <c r="M604" s="102"/>
    </row>
    <row r="605" spans="1:13" s="33" customFormat="1" ht="18" customHeight="1">
      <c r="A605" s="32"/>
      <c r="B605" s="31"/>
      <c r="C605" s="32"/>
      <c r="D605" s="32"/>
      <c r="E605" s="32"/>
      <c r="F605" s="54"/>
      <c r="G605" s="32"/>
      <c r="H605" s="32"/>
      <c r="I605" s="397"/>
      <c r="J605" s="397"/>
      <c r="K605" s="60"/>
      <c r="L605" s="398"/>
      <c r="M605" s="398"/>
    </row>
    <row r="606" spans="1:13" s="81" customFormat="1" ht="15" customHeight="1">
      <c r="A606" s="399" t="s">
        <v>481</v>
      </c>
      <c r="B606" s="399"/>
      <c r="C606" s="399"/>
      <c r="D606" s="399"/>
      <c r="E606" s="399"/>
      <c r="F606" s="399"/>
      <c r="G606" s="399"/>
      <c r="H606" s="399"/>
      <c r="I606" s="399"/>
      <c r="J606" s="399"/>
      <c r="K606" s="399"/>
      <c r="L606" s="399"/>
      <c r="M606" s="399"/>
    </row>
    <row r="607" spans="1:13" s="81" customFormat="1" ht="15" customHeight="1">
      <c r="A607" s="15"/>
      <c r="B607" s="15"/>
      <c r="C607" s="15"/>
      <c r="D607" s="15"/>
      <c r="E607" s="15"/>
      <c r="F607" s="15"/>
      <c r="G607" s="15"/>
      <c r="H607" s="15"/>
      <c r="I607" s="15"/>
      <c r="J607" s="15"/>
      <c r="K607" s="15"/>
      <c r="L607" s="15"/>
      <c r="M607" s="15"/>
    </row>
    <row r="608" spans="1:13" s="81" customFormat="1" ht="15" customHeight="1">
      <c r="A608" s="238" t="s">
        <v>482</v>
      </c>
      <c r="B608" s="238"/>
      <c r="C608" s="238"/>
      <c r="D608" s="239"/>
      <c r="E608" s="239"/>
      <c r="F608" s="238" t="s">
        <v>483</v>
      </c>
      <c r="G608" s="238"/>
      <c r="H608" s="238"/>
      <c r="I608" s="238"/>
      <c r="J608" s="238" t="s">
        <v>484</v>
      </c>
      <c r="K608" s="238" t="str">
        <f>$K$9</f>
        <v>2025</v>
      </c>
      <c r="L608" s="238"/>
      <c r="M608" s="238"/>
    </row>
    <row r="609" spans="1:13" s="81" customFormat="1" ht="15" customHeight="1">
      <c r="A609" s="238" t="s">
        <v>485</v>
      </c>
      <c r="B609" s="238"/>
      <c r="C609" s="238"/>
      <c r="D609" s="239"/>
      <c r="E609" s="238"/>
      <c r="F609" s="238" t="s">
        <v>486</v>
      </c>
      <c r="G609" s="238"/>
      <c r="H609" s="238"/>
      <c r="I609" s="238"/>
      <c r="J609" s="238" t="s">
        <v>487</v>
      </c>
      <c r="K609" s="94" t="s">
        <v>512</v>
      </c>
      <c r="L609" s="238"/>
      <c r="M609" s="238"/>
    </row>
    <row r="610" spans="1:13" s="81" customFormat="1" ht="15" customHeight="1">
      <c r="A610" s="238" t="s">
        <v>489</v>
      </c>
      <c r="B610" s="238"/>
      <c r="C610" s="238"/>
      <c r="D610" s="238"/>
      <c r="E610" s="238"/>
      <c r="F610" s="238"/>
      <c r="G610" s="238"/>
      <c r="H610" s="238"/>
      <c r="I610" s="238"/>
      <c r="J610" s="238"/>
      <c r="K610" s="238"/>
      <c r="L610" s="238"/>
      <c r="M610" s="238"/>
    </row>
    <row r="611" spans="1:13" s="81" customFormat="1" ht="15" customHeight="1">
      <c r="A611" s="82"/>
      <c r="B611" s="82"/>
      <c r="C611" s="82"/>
      <c r="D611" s="82"/>
      <c r="E611" s="82"/>
      <c r="F611" s="82"/>
      <c r="G611" s="82"/>
      <c r="H611" s="82"/>
      <c r="I611" s="82"/>
      <c r="J611" s="82"/>
      <c r="K611" s="82"/>
      <c r="L611" s="82"/>
      <c r="M611" s="82"/>
    </row>
    <row r="612" spans="1:13" s="81" customFormat="1" ht="15" customHeight="1">
      <c r="A612" s="82"/>
      <c r="B612" s="82"/>
      <c r="C612" s="82"/>
      <c r="D612" s="82"/>
      <c r="E612" s="82"/>
      <c r="F612" s="82"/>
      <c r="G612" s="82"/>
      <c r="H612" s="82"/>
      <c r="I612" s="82"/>
      <c r="J612" s="82"/>
      <c r="K612" s="82"/>
      <c r="L612" s="82"/>
      <c r="M612" s="82"/>
    </row>
    <row r="613" spans="1:13" ht="18" customHeight="1" thickBot="1">
      <c r="A613" s="403"/>
      <c r="B613" s="403"/>
      <c r="C613" s="403"/>
      <c r="D613" s="403"/>
      <c r="E613" s="403"/>
      <c r="F613" s="403"/>
      <c r="G613" s="403"/>
      <c r="H613" s="403"/>
      <c r="I613" s="403"/>
      <c r="J613" s="403"/>
      <c r="K613" s="403"/>
      <c r="L613" s="403"/>
      <c r="M613" s="403"/>
    </row>
    <row r="614" spans="1:13" ht="18" customHeight="1">
      <c r="A614" s="192"/>
      <c r="B614" s="193"/>
      <c r="C614" s="193"/>
      <c r="D614" s="193"/>
      <c r="E614" s="193"/>
      <c r="F614" s="194"/>
      <c r="G614" s="195"/>
      <c r="H614" s="196"/>
      <c r="I614" s="196" t="s">
        <v>3</v>
      </c>
      <c r="J614" s="394" t="s">
        <v>188</v>
      </c>
      <c r="K614" s="395"/>
      <c r="L614" s="396"/>
      <c r="M614" s="197" t="s">
        <v>4</v>
      </c>
    </row>
    <row r="615" spans="1:13" ht="18" customHeight="1">
      <c r="A615" s="388"/>
      <c r="B615" s="389"/>
      <c r="C615" s="389"/>
      <c r="D615" s="389"/>
      <c r="E615" s="389"/>
      <c r="F615" s="390"/>
      <c r="G615" s="199"/>
      <c r="H615" s="200"/>
      <c r="I615" s="200">
        <v>2023</v>
      </c>
      <c r="J615" s="200" t="s">
        <v>137</v>
      </c>
      <c r="K615" s="200" t="s">
        <v>138</v>
      </c>
      <c r="L615" s="200">
        <v>2024</v>
      </c>
      <c r="M615" s="201">
        <v>2025</v>
      </c>
    </row>
    <row r="616" spans="1:13" ht="18" customHeight="1">
      <c r="A616" s="388" t="s">
        <v>8</v>
      </c>
      <c r="B616" s="389"/>
      <c r="C616" s="389"/>
      <c r="D616" s="389"/>
      <c r="E616" s="389"/>
      <c r="F616" s="390"/>
      <c r="G616" s="202"/>
      <c r="H616" s="203" t="s">
        <v>186</v>
      </c>
      <c r="I616" s="200" t="s">
        <v>311</v>
      </c>
      <c r="J616" s="200" t="s">
        <v>136</v>
      </c>
      <c r="K616" s="200" t="s">
        <v>139</v>
      </c>
      <c r="L616" s="200" t="s">
        <v>311</v>
      </c>
      <c r="M616" s="201" t="s">
        <v>311</v>
      </c>
    </row>
    <row r="617" spans="1:13" ht="18" customHeight="1">
      <c r="A617" s="204"/>
      <c r="B617" s="99"/>
      <c r="C617" s="99"/>
      <c r="D617" s="99"/>
      <c r="E617" s="99"/>
      <c r="F617" s="205"/>
      <c r="G617" s="202"/>
      <c r="H617" s="200"/>
      <c r="I617" s="200" t="s">
        <v>136</v>
      </c>
      <c r="J617" s="200">
        <v>2024</v>
      </c>
      <c r="K617" s="200">
        <v>2024</v>
      </c>
      <c r="L617" s="200" t="s">
        <v>312</v>
      </c>
      <c r="M617" s="201" t="s">
        <v>140</v>
      </c>
    </row>
    <row r="618" spans="1:13" ht="18" customHeight="1" thickBot="1">
      <c r="A618" s="391"/>
      <c r="B618" s="392"/>
      <c r="C618" s="392"/>
      <c r="D618" s="392"/>
      <c r="E618" s="392"/>
      <c r="F618" s="393"/>
      <c r="G618" s="206"/>
      <c r="H618" s="207"/>
      <c r="I618" s="207"/>
      <c r="J618" s="207"/>
      <c r="K618" s="207"/>
      <c r="L618" s="207"/>
      <c r="M618" s="208"/>
    </row>
    <row r="619" spans="1:13" ht="18" customHeight="1">
      <c r="A619" s="209"/>
      <c r="B619" s="210" t="s">
        <v>51</v>
      </c>
      <c r="C619" s="211"/>
      <c r="D619" s="210"/>
      <c r="E619" s="210"/>
      <c r="F619" s="212"/>
      <c r="G619" s="213"/>
      <c r="H619" s="225"/>
      <c r="I619" s="226"/>
      <c r="J619" s="62"/>
      <c r="K619" s="62"/>
      <c r="L619" s="62"/>
      <c r="M619" s="62"/>
    </row>
    <row r="620" spans="1:13" s="97" customFormat="1" ht="18" customHeight="1">
      <c r="A620" s="133"/>
      <c r="B620" s="127"/>
      <c r="C620" s="127" t="s">
        <v>102</v>
      </c>
      <c r="D620" s="127"/>
      <c r="E620" s="127"/>
      <c r="F620" s="128"/>
      <c r="G620" s="129"/>
      <c r="H620" s="167"/>
      <c r="I620" s="168"/>
      <c r="J620" s="63"/>
      <c r="K620" s="63"/>
      <c r="L620" s="63"/>
      <c r="M620" s="63"/>
    </row>
    <row r="621" spans="1:13" s="97" customFormat="1" ht="18" customHeight="1">
      <c r="A621" s="133"/>
      <c r="B621" s="127"/>
      <c r="C621" s="127"/>
      <c r="D621" s="127" t="s">
        <v>103</v>
      </c>
      <c r="E621" s="127"/>
      <c r="F621" s="128"/>
      <c r="G621" s="129" t="s">
        <v>156</v>
      </c>
      <c r="H621" s="130" t="s">
        <v>196</v>
      </c>
      <c r="I621" s="135">
        <v>1952160.27</v>
      </c>
      <c r="J621" s="39">
        <v>976626</v>
      </c>
      <c r="K621" s="39">
        <f>1986802-J621</f>
        <v>1010176</v>
      </c>
      <c r="L621" s="39">
        <f>SUM(K621+J621)</f>
        <v>1986802</v>
      </c>
      <c r="M621" s="39">
        <v>2208948</v>
      </c>
    </row>
    <row r="622" spans="1:13" s="97" customFormat="1" ht="18" customHeight="1">
      <c r="A622" s="133"/>
      <c r="B622" s="127"/>
      <c r="C622" s="127" t="s">
        <v>104</v>
      </c>
      <c r="D622" s="127"/>
      <c r="E622" s="127"/>
      <c r="F622" s="128"/>
      <c r="G622" s="129"/>
      <c r="H622" s="167"/>
      <c r="I622" s="135"/>
      <c r="J622" s="39"/>
      <c r="K622" s="39"/>
      <c r="L622" s="39"/>
      <c r="M622" s="39"/>
    </row>
    <row r="623" spans="1:13" s="97" customFormat="1" ht="18" customHeight="1">
      <c r="A623" s="133"/>
      <c r="B623" s="127"/>
      <c r="C623" s="127"/>
      <c r="D623" s="127" t="s">
        <v>105</v>
      </c>
      <c r="E623" s="127"/>
      <c r="F623" s="128"/>
      <c r="G623" s="129" t="s">
        <v>157</v>
      </c>
      <c r="H623" s="130" t="s">
        <v>197</v>
      </c>
      <c r="I623" s="135">
        <v>144000</v>
      </c>
      <c r="J623" s="39">
        <v>72000</v>
      </c>
      <c r="K623" s="39">
        <f>144000-J623</f>
        <v>72000</v>
      </c>
      <c r="L623" s="39">
        <f t="shared" ref="L623:L640" si="44">SUM(K623+J623)</f>
        <v>144000</v>
      </c>
      <c r="M623" s="39">
        <v>144000</v>
      </c>
    </row>
    <row r="624" spans="1:13" s="97" customFormat="1" ht="18" customHeight="1">
      <c r="A624" s="133"/>
      <c r="B624" s="127"/>
      <c r="C624" s="127"/>
      <c r="D624" s="127" t="s">
        <v>107</v>
      </c>
      <c r="E624" s="127"/>
      <c r="F624" s="128"/>
      <c r="G624" s="129" t="s">
        <v>158</v>
      </c>
      <c r="H624" s="130" t="s">
        <v>198</v>
      </c>
      <c r="I624" s="135">
        <v>76500</v>
      </c>
      <c r="J624" s="39">
        <v>43350</v>
      </c>
      <c r="K624" s="39">
        <f>86700-J624</f>
        <v>43350</v>
      </c>
      <c r="L624" s="39">
        <f t="shared" si="44"/>
        <v>86700</v>
      </c>
      <c r="M624" s="39">
        <v>86700</v>
      </c>
    </row>
    <row r="625" spans="1:13" s="97" customFormat="1" ht="18" customHeight="1">
      <c r="A625" s="133"/>
      <c r="B625" s="127"/>
      <c r="C625" s="127"/>
      <c r="D625" s="127" t="s">
        <v>106</v>
      </c>
      <c r="E625" s="127"/>
      <c r="F625" s="128"/>
      <c r="G625" s="129" t="s">
        <v>159</v>
      </c>
      <c r="H625" s="130" t="s">
        <v>199</v>
      </c>
      <c r="I625" s="135">
        <v>76500</v>
      </c>
      <c r="J625" s="39">
        <v>43350</v>
      </c>
      <c r="K625" s="39">
        <f>86700-J625</f>
        <v>43350</v>
      </c>
      <c r="L625" s="39">
        <f t="shared" si="44"/>
        <v>86700</v>
      </c>
      <c r="M625" s="39">
        <v>86700</v>
      </c>
    </row>
    <row r="626" spans="1:13" s="97" customFormat="1" ht="18" customHeight="1">
      <c r="A626" s="133"/>
      <c r="B626" s="127"/>
      <c r="C626" s="127"/>
      <c r="D626" s="127" t="s">
        <v>108</v>
      </c>
      <c r="E626" s="127"/>
      <c r="F626" s="128"/>
      <c r="G626" s="129" t="s">
        <v>160</v>
      </c>
      <c r="H626" s="130" t="s">
        <v>200</v>
      </c>
      <c r="I626" s="135">
        <v>36000</v>
      </c>
      <c r="J626" s="39">
        <v>42000</v>
      </c>
      <c r="K626" s="39">
        <f>42000-J626</f>
        <v>0</v>
      </c>
      <c r="L626" s="39">
        <f t="shared" si="44"/>
        <v>42000</v>
      </c>
      <c r="M626" s="39">
        <v>42000</v>
      </c>
    </row>
    <row r="627" spans="1:13" s="97" customFormat="1" ht="18" customHeight="1">
      <c r="A627" s="133"/>
      <c r="B627" s="127"/>
      <c r="C627" s="127"/>
      <c r="D627" s="127" t="s">
        <v>194</v>
      </c>
      <c r="E627" s="127"/>
      <c r="F627" s="128"/>
      <c r="G627" s="129" t="s">
        <v>162</v>
      </c>
      <c r="H627" s="130" t="s">
        <v>201</v>
      </c>
      <c r="I627" s="135">
        <v>30000</v>
      </c>
      <c r="J627" s="39"/>
      <c r="K627" s="39">
        <f>30000-J627</f>
        <v>30000</v>
      </c>
      <c r="L627" s="39">
        <f t="shared" si="44"/>
        <v>30000</v>
      </c>
      <c r="M627" s="39">
        <v>30000</v>
      </c>
    </row>
    <row r="628" spans="1:13" s="97" customFormat="1" ht="18" customHeight="1">
      <c r="A628" s="133"/>
      <c r="B628" s="127"/>
      <c r="C628" s="127"/>
      <c r="D628" s="127" t="s">
        <v>110</v>
      </c>
      <c r="E628" s="127"/>
      <c r="F628" s="128"/>
      <c r="G628" s="129" t="s">
        <v>92</v>
      </c>
      <c r="H628" s="130" t="s">
        <v>202</v>
      </c>
      <c r="I628" s="135">
        <v>5000</v>
      </c>
      <c r="J628" s="39">
        <v>5000</v>
      </c>
      <c r="K628" s="39">
        <f>15000-J628</f>
        <v>10000</v>
      </c>
      <c r="L628" s="39">
        <f t="shared" si="44"/>
        <v>15000</v>
      </c>
      <c r="M628" s="39">
        <v>5000</v>
      </c>
    </row>
    <row r="629" spans="1:13" s="97" customFormat="1" ht="18" customHeight="1">
      <c r="A629" s="133"/>
      <c r="B629" s="127"/>
      <c r="C629" s="127"/>
      <c r="D629" s="127" t="s">
        <v>354</v>
      </c>
      <c r="E629" s="127"/>
      <c r="F629" s="128"/>
      <c r="G629" s="129" t="s">
        <v>92</v>
      </c>
      <c r="H629" s="130" t="s">
        <v>202</v>
      </c>
      <c r="I629" s="135"/>
      <c r="J629" s="39"/>
      <c r="K629" s="39">
        <f>0-J629</f>
        <v>0</v>
      </c>
      <c r="L629" s="39">
        <f t="shared" si="44"/>
        <v>0</v>
      </c>
      <c r="M629" s="39">
        <v>0</v>
      </c>
    </row>
    <row r="630" spans="1:13" s="97" customFormat="1" ht="18" customHeight="1">
      <c r="A630" s="133"/>
      <c r="B630" s="127"/>
      <c r="C630" s="127"/>
      <c r="D630" s="127" t="s">
        <v>421</v>
      </c>
      <c r="E630" s="127"/>
      <c r="F630" s="128"/>
      <c r="G630" s="129"/>
      <c r="H630" s="130" t="s">
        <v>202</v>
      </c>
      <c r="I630" s="135"/>
      <c r="J630" s="39"/>
      <c r="K630" s="39">
        <v>0</v>
      </c>
      <c r="L630" s="39">
        <f t="shared" si="44"/>
        <v>0</v>
      </c>
      <c r="M630" s="39">
        <v>42000</v>
      </c>
    </row>
    <row r="631" spans="1:13" s="97" customFormat="1" ht="18" customHeight="1">
      <c r="A631" s="133"/>
      <c r="B631" s="127"/>
      <c r="C631" s="127"/>
      <c r="D631" s="127" t="s">
        <v>112</v>
      </c>
      <c r="E631" s="127"/>
      <c r="F631" s="128"/>
      <c r="G631" s="129" t="s">
        <v>165</v>
      </c>
      <c r="H631" s="130" t="s">
        <v>203</v>
      </c>
      <c r="I631" s="135">
        <v>30000</v>
      </c>
      <c r="J631" s="39"/>
      <c r="K631" s="39">
        <f>30000-J631</f>
        <v>30000</v>
      </c>
      <c r="L631" s="39">
        <f t="shared" si="44"/>
        <v>30000</v>
      </c>
      <c r="M631" s="39">
        <v>30000</v>
      </c>
    </row>
    <row r="632" spans="1:13" s="97" customFormat="1" ht="18" customHeight="1">
      <c r="A632" s="133"/>
      <c r="B632" s="127"/>
      <c r="C632" s="127"/>
      <c r="D632" s="127" t="s">
        <v>252</v>
      </c>
      <c r="E632" s="127"/>
      <c r="F632" s="127"/>
      <c r="G632" s="138" t="s">
        <v>92</v>
      </c>
      <c r="H632" s="130" t="s">
        <v>202</v>
      </c>
      <c r="I632" s="135">
        <v>162450</v>
      </c>
      <c r="J632" s="39">
        <v>162771</v>
      </c>
      <c r="K632" s="39">
        <f>162771-J632</f>
        <v>0</v>
      </c>
      <c r="L632" s="39">
        <f t="shared" si="44"/>
        <v>162771</v>
      </c>
      <c r="M632" s="39">
        <v>181527</v>
      </c>
    </row>
    <row r="633" spans="1:13" s="97" customFormat="1" ht="18" customHeight="1">
      <c r="A633" s="133"/>
      <c r="B633" s="127"/>
      <c r="C633" s="127"/>
      <c r="D633" s="127" t="s">
        <v>113</v>
      </c>
      <c r="E633" s="127"/>
      <c r="F633" s="128"/>
      <c r="G633" s="129" t="s">
        <v>166</v>
      </c>
      <c r="H633" s="130" t="s">
        <v>204</v>
      </c>
      <c r="I633" s="135">
        <v>162771</v>
      </c>
      <c r="J633" s="39">
        <v>0</v>
      </c>
      <c r="K633" s="39">
        <f>172778-J633</f>
        <v>172778</v>
      </c>
      <c r="L633" s="39">
        <f t="shared" si="44"/>
        <v>172778</v>
      </c>
      <c r="M633" s="39">
        <v>189183</v>
      </c>
    </row>
    <row r="634" spans="1:13" s="97" customFormat="1" ht="18" customHeight="1">
      <c r="A634" s="133"/>
      <c r="B634" s="127"/>
      <c r="C634" s="127"/>
      <c r="D634" s="127" t="s">
        <v>190</v>
      </c>
      <c r="E634" s="127"/>
      <c r="F634" s="128"/>
      <c r="G634" s="129" t="s">
        <v>167</v>
      </c>
      <c r="H634" s="130" t="s">
        <v>205</v>
      </c>
      <c r="I634" s="135">
        <f>232623.12+1628.88</f>
        <v>234252</v>
      </c>
      <c r="J634" s="39">
        <v>97662.6</v>
      </c>
      <c r="K634" s="39">
        <f>239000-J634</f>
        <v>141337.4</v>
      </c>
      <c r="L634" s="39">
        <f t="shared" si="44"/>
        <v>239000</v>
      </c>
      <c r="M634" s="39">
        <v>266000</v>
      </c>
    </row>
    <row r="635" spans="1:13" s="97" customFormat="1" ht="18" customHeight="1">
      <c r="A635" s="133"/>
      <c r="B635" s="127"/>
      <c r="C635" s="127"/>
      <c r="D635" s="127" t="s">
        <v>114</v>
      </c>
      <c r="E635" s="127"/>
      <c r="F635" s="128"/>
      <c r="G635" s="129" t="s">
        <v>168</v>
      </c>
      <c r="H635" s="130" t="s">
        <v>206</v>
      </c>
      <c r="I635" s="135">
        <f>6600+600</f>
        <v>7200</v>
      </c>
      <c r="J635" s="39">
        <v>5400</v>
      </c>
      <c r="K635" s="39">
        <f>14400-J635</f>
        <v>9000</v>
      </c>
      <c r="L635" s="39">
        <f t="shared" si="44"/>
        <v>14400</v>
      </c>
      <c r="M635" s="39">
        <v>14400</v>
      </c>
    </row>
    <row r="636" spans="1:13" s="97" customFormat="1" ht="18" customHeight="1">
      <c r="A636" s="133"/>
      <c r="B636" s="127"/>
      <c r="C636" s="127"/>
      <c r="D636" s="127" t="s">
        <v>115</v>
      </c>
      <c r="E636" s="127"/>
      <c r="F636" s="128"/>
      <c r="G636" s="129" t="s">
        <v>169</v>
      </c>
      <c r="H636" s="130" t="s">
        <v>207</v>
      </c>
      <c r="I636" s="135">
        <v>38058.5</v>
      </c>
      <c r="J636" s="39">
        <v>20346.39</v>
      </c>
      <c r="K636" s="39">
        <f>50000-J636</f>
        <v>29653.61</v>
      </c>
      <c r="L636" s="39">
        <f t="shared" si="44"/>
        <v>50000</v>
      </c>
      <c r="M636" s="39">
        <v>56000</v>
      </c>
    </row>
    <row r="637" spans="1:13" s="97" customFormat="1" ht="18" customHeight="1">
      <c r="A637" s="133"/>
      <c r="B637" s="127"/>
      <c r="C637" s="127"/>
      <c r="D637" s="127" t="s">
        <v>189</v>
      </c>
      <c r="E637" s="127"/>
      <c r="F637" s="128"/>
      <c r="G637" s="129" t="s">
        <v>170</v>
      </c>
      <c r="H637" s="130" t="s">
        <v>208</v>
      </c>
      <c r="I637" s="135">
        <v>7200</v>
      </c>
      <c r="J637" s="39">
        <v>3000</v>
      </c>
      <c r="K637" s="39">
        <f>7200-J637</f>
        <v>4200</v>
      </c>
      <c r="L637" s="39">
        <f t="shared" si="44"/>
        <v>7200</v>
      </c>
      <c r="M637" s="39">
        <v>7200</v>
      </c>
    </row>
    <row r="638" spans="1:13" s="97" customFormat="1" ht="18" customHeight="1">
      <c r="A638" s="133"/>
      <c r="B638" s="127"/>
      <c r="C638" s="127"/>
      <c r="D638" s="127" t="s">
        <v>117</v>
      </c>
      <c r="E638" s="127"/>
      <c r="F638" s="128"/>
      <c r="G638" s="129" t="s">
        <v>67</v>
      </c>
      <c r="H638" s="130" t="s">
        <v>220</v>
      </c>
      <c r="I638" s="135"/>
      <c r="J638" s="39"/>
      <c r="K638" s="39">
        <f>0-J638</f>
        <v>0</v>
      </c>
      <c r="L638" s="39">
        <f t="shared" si="44"/>
        <v>0</v>
      </c>
      <c r="M638" s="39">
        <v>0</v>
      </c>
    </row>
    <row r="639" spans="1:13" s="97" customFormat="1" ht="18" customHeight="1">
      <c r="A639" s="133"/>
      <c r="B639" s="127"/>
      <c r="C639" s="127"/>
      <c r="D639" s="127" t="s">
        <v>117</v>
      </c>
      <c r="E639" s="127"/>
      <c r="F639" s="128"/>
      <c r="G639" s="129" t="s">
        <v>67</v>
      </c>
      <c r="H639" s="130" t="s">
        <v>220</v>
      </c>
      <c r="I639" s="135"/>
      <c r="J639" s="39">
        <v>82583.399999999994</v>
      </c>
      <c r="K639" s="39">
        <f>82583.4-J639</f>
        <v>0</v>
      </c>
      <c r="L639" s="39">
        <f t="shared" si="44"/>
        <v>82583.399999999994</v>
      </c>
      <c r="M639" s="39">
        <v>0</v>
      </c>
    </row>
    <row r="640" spans="1:13" s="97" customFormat="1" ht="18" customHeight="1">
      <c r="A640" s="133"/>
      <c r="B640" s="127"/>
      <c r="C640" s="127"/>
      <c r="D640" s="127" t="s">
        <v>343</v>
      </c>
      <c r="E640" s="127"/>
      <c r="F640" s="128"/>
      <c r="G640" s="129"/>
      <c r="H640" s="130" t="s">
        <v>220</v>
      </c>
      <c r="I640" s="135">
        <v>120000</v>
      </c>
      <c r="J640" s="39"/>
      <c r="K640" s="39">
        <f>120000-J640</f>
        <v>120000</v>
      </c>
      <c r="L640" s="39">
        <f t="shared" si="44"/>
        <v>120000</v>
      </c>
      <c r="M640" s="39">
        <v>0</v>
      </c>
    </row>
    <row r="641" spans="1:13" ht="18" customHeight="1">
      <c r="A641" s="133"/>
      <c r="B641" s="127"/>
      <c r="C641" s="127"/>
      <c r="D641" s="191" t="s">
        <v>423</v>
      </c>
      <c r="E641" s="127"/>
      <c r="F641" s="128"/>
      <c r="G641" s="129"/>
      <c r="H641" s="130" t="s">
        <v>220</v>
      </c>
      <c r="I641" s="135">
        <v>180000</v>
      </c>
      <c r="J641" s="39"/>
      <c r="K641" s="39">
        <f>180000-J641</f>
        <v>180000</v>
      </c>
      <c r="L641" s="39">
        <f t="shared" ref="L641" si="45">SUM(K641+J641)</f>
        <v>180000</v>
      </c>
      <c r="M641" s="39">
        <v>0</v>
      </c>
    </row>
    <row r="642" spans="1:13" s="97" customFormat="1" ht="18" customHeight="1">
      <c r="A642" s="139"/>
      <c r="B642" s="140"/>
      <c r="C642" s="140"/>
      <c r="D642" s="140" t="s">
        <v>53</v>
      </c>
      <c r="E642" s="140"/>
      <c r="F642" s="141"/>
      <c r="G642" s="142"/>
      <c r="H642" s="169"/>
      <c r="I642" s="143">
        <f>SUM(I621:I641)</f>
        <v>3262091.77</v>
      </c>
      <c r="J642" s="143">
        <f t="shared" ref="J642:M642" si="46">SUM(J621:J641)</f>
        <v>1554089.39</v>
      </c>
      <c r="K642" s="143">
        <f t="shared" si="46"/>
        <v>1895845.01</v>
      </c>
      <c r="L642" s="143">
        <f t="shared" si="46"/>
        <v>3449934.4</v>
      </c>
      <c r="M642" s="143">
        <f t="shared" si="46"/>
        <v>3389658</v>
      </c>
    </row>
    <row r="643" spans="1:13" s="97" customFormat="1" ht="18" customHeight="1">
      <c r="A643" s="133"/>
      <c r="B643" s="127" t="s">
        <v>118</v>
      </c>
      <c r="C643" s="127"/>
      <c r="D643" s="127"/>
      <c r="E643" s="127"/>
      <c r="F643" s="128"/>
      <c r="G643" s="129"/>
      <c r="H643" s="167"/>
      <c r="I643" s="135"/>
      <c r="J643" s="39"/>
      <c r="K643" s="39"/>
      <c r="L643" s="39"/>
      <c r="M643" s="39"/>
    </row>
    <row r="644" spans="1:13" s="97" customFormat="1" ht="18" customHeight="1">
      <c r="A644" s="133"/>
      <c r="B644" s="127"/>
      <c r="C644" s="127"/>
      <c r="D644" s="127" t="s">
        <v>119</v>
      </c>
      <c r="E644" s="127"/>
      <c r="F644" s="128"/>
      <c r="G644" s="129" t="s">
        <v>60</v>
      </c>
      <c r="H644" s="130" t="s">
        <v>210</v>
      </c>
      <c r="I644" s="135">
        <v>138565.04999999999</v>
      </c>
      <c r="J644" s="39">
        <v>56680.38</v>
      </c>
      <c r="K644" s="39">
        <f>127434.38-J644</f>
        <v>70754</v>
      </c>
      <c r="L644" s="39">
        <f t="shared" ref="L644:L652" si="47">SUM(K644+J644)</f>
        <v>127434.38</v>
      </c>
      <c r="M644" s="39">
        <v>150000</v>
      </c>
    </row>
    <row r="645" spans="1:13" s="97" customFormat="1" ht="18" customHeight="1">
      <c r="A645" s="133"/>
      <c r="B645" s="127"/>
      <c r="C645" s="127"/>
      <c r="D645" s="127" t="s">
        <v>91</v>
      </c>
      <c r="E645" s="127"/>
      <c r="F645" s="128"/>
      <c r="G645" s="129" t="s">
        <v>61</v>
      </c>
      <c r="H645" s="130" t="s">
        <v>211</v>
      </c>
      <c r="I645" s="135">
        <v>99907</v>
      </c>
      <c r="J645" s="39">
        <v>16000</v>
      </c>
      <c r="K645" s="39">
        <f>120000-J645</f>
        <v>104000</v>
      </c>
      <c r="L645" s="39">
        <f t="shared" si="47"/>
        <v>120000</v>
      </c>
      <c r="M645" s="39">
        <v>120000</v>
      </c>
    </row>
    <row r="646" spans="1:13" s="97" customFormat="1" ht="18" customHeight="1">
      <c r="A646" s="133"/>
      <c r="B646" s="127"/>
      <c r="C646" s="127"/>
      <c r="D646" s="127" t="s">
        <v>58</v>
      </c>
      <c r="E646" s="127"/>
      <c r="F646" s="128"/>
      <c r="G646" s="129" t="s">
        <v>63</v>
      </c>
      <c r="H646" s="130" t="s">
        <v>212</v>
      </c>
      <c r="I646" s="135">
        <v>93482</v>
      </c>
      <c r="J646" s="39">
        <v>657.72</v>
      </c>
      <c r="K646" s="39">
        <f>116398.1-J646</f>
        <v>115740.38</v>
      </c>
      <c r="L646" s="39">
        <f t="shared" si="47"/>
        <v>116398.1</v>
      </c>
      <c r="M646" s="39">
        <v>130000</v>
      </c>
    </row>
    <row r="647" spans="1:13" s="97" customFormat="1" ht="18" customHeight="1">
      <c r="A647" s="133"/>
      <c r="B647" s="127"/>
      <c r="C647" s="127"/>
      <c r="D647" s="127" t="s">
        <v>467</v>
      </c>
      <c r="E647" s="127"/>
      <c r="F647" s="128"/>
      <c r="G647" s="129"/>
      <c r="H647" s="130" t="s">
        <v>212</v>
      </c>
      <c r="I647" s="135"/>
      <c r="J647" s="39"/>
      <c r="K647" s="39"/>
      <c r="L647" s="39"/>
      <c r="M647" s="39">
        <v>150000</v>
      </c>
    </row>
    <row r="648" spans="1:13" s="97" customFormat="1" ht="18" customHeight="1">
      <c r="A648" s="133"/>
      <c r="B648" s="127"/>
      <c r="C648" s="127"/>
      <c r="D648" s="127" t="s">
        <v>123</v>
      </c>
      <c r="E648" s="127"/>
      <c r="F648" s="128"/>
      <c r="G648" s="129" t="s">
        <v>175</v>
      </c>
      <c r="H648" s="130" t="s">
        <v>213</v>
      </c>
      <c r="I648" s="135">
        <v>0</v>
      </c>
      <c r="J648" s="39">
        <v>0</v>
      </c>
      <c r="K648" s="39">
        <f>0-J648</f>
        <v>0</v>
      </c>
      <c r="L648" s="39">
        <f t="shared" si="47"/>
        <v>0</v>
      </c>
      <c r="M648" s="39">
        <v>500</v>
      </c>
    </row>
    <row r="649" spans="1:13" s="97" customFormat="1" ht="18" customHeight="1">
      <c r="A649" s="133"/>
      <c r="B649" s="127"/>
      <c r="C649" s="127"/>
      <c r="D649" s="127" t="s">
        <v>125</v>
      </c>
      <c r="E649" s="127"/>
      <c r="F649" s="128"/>
      <c r="G649" s="129" t="s">
        <v>64</v>
      </c>
      <c r="H649" s="130" t="s">
        <v>214</v>
      </c>
      <c r="I649" s="135">
        <v>36000</v>
      </c>
      <c r="J649" s="39">
        <v>19000</v>
      </c>
      <c r="K649" s="39">
        <f>36000-J649</f>
        <v>17000</v>
      </c>
      <c r="L649" s="39">
        <f t="shared" si="47"/>
        <v>36000</v>
      </c>
      <c r="M649" s="39">
        <v>24000</v>
      </c>
    </row>
    <row r="650" spans="1:13" s="97" customFormat="1" ht="18" customHeight="1">
      <c r="A650" s="133"/>
      <c r="B650" s="127"/>
      <c r="C650" s="127"/>
      <c r="D650" s="127" t="s">
        <v>304</v>
      </c>
      <c r="E650" s="127"/>
      <c r="F650" s="128"/>
      <c r="G650" s="129" t="s">
        <v>65</v>
      </c>
      <c r="H650" s="130" t="s">
        <v>215</v>
      </c>
      <c r="I650" s="135">
        <v>0</v>
      </c>
      <c r="J650" s="39">
        <v>800</v>
      </c>
      <c r="K650" s="39">
        <f>4500-J650</f>
        <v>3700</v>
      </c>
      <c r="L650" s="39">
        <f t="shared" si="47"/>
        <v>4500</v>
      </c>
      <c r="M650" s="39">
        <v>25000</v>
      </c>
    </row>
    <row r="651" spans="1:13" s="97" customFormat="1" ht="18" customHeight="1">
      <c r="A651" s="133"/>
      <c r="B651" s="127"/>
      <c r="C651" s="127"/>
      <c r="D651" s="127" t="s">
        <v>131</v>
      </c>
      <c r="E651" s="127"/>
      <c r="F651" s="128"/>
      <c r="G651" s="129" t="s">
        <v>66</v>
      </c>
      <c r="H651" s="130" t="s">
        <v>216</v>
      </c>
      <c r="I651" s="135">
        <v>0</v>
      </c>
      <c r="J651" s="39">
        <v>0</v>
      </c>
      <c r="K651" s="39">
        <f>22000-J651</f>
        <v>22000</v>
      </c>
      <c r="L651" s="39">
        <f t="shared" ref="L651" si="48">SUM(K651+J651)</f>
        <v>22000</v>
      </c>
      <c r="M651" s="39">
        <v>22000</v>
      </c>
    </row>
    <row r="652" spans="1:13" s="97" customFormat="1" ht="18" customHeight="1">
      <c r="A652" s="133"/>
      <c r="B652" s="127"/>
      <c r="C652" s="127"/>
      <c r="D652" s="127" t="s">
        <v>366</v>
      </c>
      <c r="E652" s="127"/>
      <c r="F652" s="128"/>
      <c r="G652" s="129"/>
      <c r="H652" s="130" t="s">
        <v>216</v>
      </c>
      <c r="I652" s="135"/>
      <c r="J652" s="39">
        <v>0</v>
      </c>
      <c r="K652" s="39">
        <f>0-J652</f>
        <v>0</v>
      </c>
      <c r="L652" s="39">
        <f t="shared" si="47"/>
        <v>0</v>
      </c>
      <c r="M652" s="39">
        <v>0</v>
      </c>
    </row>
    <row r="653" spans="1:13" s="97" customFormat="1" ht="18" customHeight="1">
      <c r="A653" s="139"/>
      <c r="B653" s="140"/>
      <c r="C653" s="140"/>
      <c r="D653" s="140" t="s">
        <v>244</v>
      </c>
      <c r="E653" s="140"/>
      <c r="F653" s="141"/>
      <c r="G653" s="142"/>
      <c r="H653" s="169"/>
      <c r="I653" s="143">
        <f>SUM(I644:I652)</f>
        <v>367954.05</v>
      </c>
      <c r="J653" s="143">
        <f>SUM(J644:J652)</f>
        <v>93138.1</v>
      </c>
      <c r="K653" s="143">
        <f>SUM(K644:K652)</f>
        <v>333194.38</v>
      </c>
      <c r="L653" s="143">
        <f>SUM(L644:L652)</f>
        <v>426332.48</v>
      </c>
      <c r="M653" s="143">
        <f>SUM(M644:M652)</f>
        <v>621500</v>
      </c>
    </row>
    <row r="654" spans="1:13" s="97" customFormat="1" ht="18" customHeight="1">
      <c r="A654" s="133"/>
      <c r="B654" s="127" t="s">
        <v>132</v>
      </c>
      <c r="C654" s="127"/>
      <c r="D654" s="127"/>
      <c r="E654" s="127"/>
      <c r="F654" s="128"/>
      <c r="G654" s="129"/>
      <c r="H654" s="167"/>
      <c r="I654" s="135"/>
      <c r="J654" s="39"/>
      <c r="K654" s="39"/>
      <c r="L654" s="39"/>
      <c r="M654" s="39"/>
    </row>
    <row r="655" spans="1:13" s="97" customFormat="1" ht="18" customHeight="1">
      <c r="A655" s="133"/>
      <c r="B655" s="127"/>
      <c r="C655" s="127"/>
      <c r="D655" s="127" t="s">
        <v>195</v>
      </c>
      <c r="E655" s="127"/>
      <c r="F655" s="128"/>
      <c r="G655" s="129" t="s">
        <v>285</v>
      </c>
      <c r="H655" s="130" t="s">
        <v>286</v>
      </c>
      <c r="I655" s="135">
        <v>0</v>
      </c>
      <c r="J655" s="39">
        <v>0</v>
      </c>
      <c r="K655" s="39">
        <f>0-J655</f>
        <v>0</v>
      </c>
      <c r="L655" s="39">
        <f>K655+J655</f>
        <v>0</v>
      </c>
      <c r="M655" s="39">
        <v>0</v>
      </c>
    </row>
    <row r="656" spans="1:13" s="97" customFormat="1" ht="18" customHeight="1">
      <c r="A656" s="133"/>
      <c r="B656" s="127"/>
      <c r="C656" s="127"/>
      <c r="D656" s="127" t="s">
        <v>284</v>
      </c>
      <c r="E656" s="127"/>
      <c r="F656" s="128"/>
      <c r="G656" s="129" t="s">
        <v>287</v>
      </c>
      <c r="H656" s="130" t="s">
        <v>348</v>
      </c>
      <c r="I656" s="135">
        <v>0</v>
      </c>
      <c r="J656" s="39">
        <v>0</v>
      </c>
      <c r="K656" s="39">
        <f>80000-J656</f>
        <v>80000</v>
      </c>
      <c r="L656" s="39">
        <f>K656+J656</f>
        <v>80000</v>
      </c>
      <c r="M656" s="39">
        <v>80000</v>
      </c>
    </row>
    <row r="657" spans="1:13" s="97" customFormat="1" ht="18" customHeight="1">
      <c r="A657" s="133"/>
      <c r="B657" s="127"/>
      <c r="C657" s="127"/>
      <c r="D657" s="127" t="s">
        <v>292</v>
      </c>
      <c r="E657" s="127"/>
      <c r="F657" s="128"/>
      <c r="G657" s="129"/>
      <c r="H657" s="130" t="s">
        <v>293</v>
      </c>
      <c r="I657" s="135">
        <v>0</v>
      </c>
      <c r="J657" s="39">
        <v>0</v>
      </c>
      <c r="K657" s="39">
        <f t="shared" ref="K657:K658" si="49">0-J657</f>
        <v>0</v>
      </c>
      <c r="L657" s="39">
        <f>K657+J657</f>
        <v>0</v>
      </c>
      <c r="M657" s="39">
        <v>0</v>
      </c>
    </row>
    <row r="658" spans="1:13" s="97" customFormat="1" ht="18" customHeight="1">
      <c r="A658" s="133"/>
      <c r="B658" s="127"/>
      <c r="C658" s="127"/>
      <c r="D658" s="127" t="s">
        <v>288</v>
      </c>
      <c r="E658" s="127"/>
      <c r="F658" s="128"/>
      <c r="G658" s="129" t="s">
        <v>289</v>
      </c>
      <c r="H658" s="130" t="s">
        <v>290</v>
      </c>
      <c r="I658" s="135">
        <v>0</v>
      </c>
      <c r="J658" s="39">
        <v>0</v>
      </c>
      <c r="K658" s="39">
        <f t="shared" si="49"/>
        <v>0</v>
      </c>
      <c r="L658" s="39">
        <f>K658+J658</f>
        <v>0</v>
      </c>
      <c r="M658" s="39">
        <v>80000</v>
      </c>
    </row>
    <row r="659" spans="1:13" s="97" customFormat="1" ht="18" customHeight="1">
      <c r="A659" s="139"/>
      <c r="B659" s="140"/>
      <c r="C659" s="140"/>
      <c r="D659" s="140" t="s">
        <v>245</v>
      </c>
      <c r="E659" s="140"/>
      <c r="F659" s="141"/>
      <c r="G659" s="142"/>
      <c r="H659" s="169"/>
      <c r="I659" s="143">
        <f>SUM(I655:I658)</f>
        <v>0</v>
      </c>
      <c r="J659" s="143">
        <f>SUM(J655:J658)</f>
        <v>0</v>
      </c>
      <c r="K659" s="143">
        <f>SUM(K655:K658)</f>
        <v>80000</v>
      </c>
      <c r="L659" s="143">
        <f>SUM(L655:L658)</f>
        <v>80000</v>
      </c>
      <c r="M659" s="143">
        <f>SUM(M655:M658)</f>
        <v>160000</v>
      </c>
    </row>
    <row r="660" spans="1:13" s="92" customFormat="1" ht="18" customHeight="1">
      <c r="A660" s="139"/>
      <c r="B660" s="140"/>
      <c r="C660" s="140"/>
      <c r="D660" s="140"/>
      <c r="E660" s="140"/>
      <c r="F660" s="141"/>
      <c r="G660" s="142"/>
      <c r="H660" s="169"/>
      <c r="I660" s="143"/>
      <c r="J660" s="46"/>
      <c r="K660" s="46"/>
      <c r="L660" s="46"/>
      <c r="M660" s="46"/>
    </row>
    <row r="661" spans="1:13" s="33" customFormat="1" ht="18" customHeight="1">
      <c r="A661" s="146" t="s">
        <v>187</v>
      </c>
      <c r="B661" s="148"/>
      <c r="C661" s="148"/>
      <c r="D661" s="148"/>
      <c r="E661" s="148"/>
      <c r="F661" s="149"/>
      <c r="G661" s="166"/>
      <c r="H661" s="170"/>
      <c r="I661" s="152">
        <f>SUM(I659+I653+I642)</f>
        <v>3630045.82</v>
      </c>
      <c r="J661" s="152">
        <f>SUM(J659+J653+J642)</f>
        <v>1647227.49</v>
      </c>
      <c r="K661" s="152">
        <f>SUM(K659+K653+K642)</f>
        <v>2309039.39</v>
      </c>
      <c r="L661" s="152">
        <f>SUM(L659+L653+L642)</f>
        <v>3956266.88</v>
      </c>
      <c r="M661" s="152">
        <f>SUM(M659+M653+M642)</f>
        <v>4171158</v>
      </c>
    </row>
    <row r="662" spans="1:13" s="33" customFormat="1" ht="18" customHeight="1">
      <c r="A662" s="100"/>
      <c r="B662" s="100"/>
      <c r="C662" s="100"/>
      <c r="D662" s="100"/>
      <c r="E662" s="100"/>
      <c r="F662" s="100"/>
      <c r="G662" s="198"/>
      <c r="H662" s="227"/>
      <c r="I662" s="228"/>
      <c r="J662" s="228"/>
      <c r="K662" s="228"/>
      <c r="L662" s="228"/>
      <c r="M662" s="228"/>
    </row>
    <row r="663" spans="1:13" s="33" customFormat="1" ht="18" customHeight="1">
      <c r="A663" s="241" t="s">
        <v>490</v>
      </c>
      <c r="B663" s="241"/>
      <c r="C663" s="241"/>
      <c r="D663" s="241"/>
      <c r="E663" s="241"/>
      <c r="F663" s="241"/>
      <c r="G663" s="241"/>
      <c r="H663" s="241"/>
      <c r="I663" s="241"/>
      <c r="J663" s="241"/>
      <c r="K663" s="241"/>
      <c r="L663" s="241"/>
      <c r="M663" s="241"/>
    </row>
    <row r="664" spans="1:13" s="33" customFormat="1" ht="18" customHeight="1">
      <c r="A664" s="93"/>
      <c r="B664" s="94"/>
      <c r="C664" s="93"/>
      <c r="D664" s="93"/>
      <c r="E664" s="93"/>
      <c r="F664" s="95"/>
      <c r="G664" s="93"/>
      <c r="H664" s="96"/>
      <c r="I664" s="96"/>
      <c r="J664" s="92"/>
      <c r="K664" s="61"/>
      <c r="L664" s="61"/>
      <c r="M664" s="55"/>
    </row>
    <row r="665" spans="1:13" s="33" customFormat="1" ht="18" customHeight="1">
      <c r="A665" s="242" t="s">
        <v>491</v>
      </c>
      <c r="B665" s="242"/>
      <c r="C665" s="92"/>
      <c r="D665" s="242"/>
      <c r="E665" s="242"/>
      <c r="F665" s="92"/>
      <c r="G665" s="242"/>
      <c r="H665" s="242"/>
      <c r="I665" s="242" t="s">
        <v>492</v>
      </c>
      <c r="J665" s="242"/>
      <c r="K665" s="242"/>
      <c r="L665" s="242" t="s">
        <v>493</v>
      </c>
      <c r="M665" s="242"/>
    </row>
    <row r="666" spans="1:13" s="33" customFormat="1" ht="18" customHeight="1">
      <c r="A666" s="93"/>
      <c r="B666" s="94"/>
      <c r="C666" s="92"/>
      <c r="D666" s="93"/>
      <c r="E666" s="93"/>
      <c r="F666" s="92"/>
      <c r="G666" s="93"/>
      <c r="H666" s="92"/>
      <c r="I666" s="93"/>
      <c r="J666" s="96"/>
      <c r="K666" s="60"/>
      <c r="L666" s="95"/>
      <c r="M666" s="61"/>
    </row>
    <row r="667" spans="1:13" s="33" customFormat="1" ht="18" customHeight="1">
      <c r="A667" s="404" t="s">
        <v>513</v>
      </c>
      <c r="B667" s="404"/>
      <c r="C667" s="404"/>
      <c r="D667" s="404"/>
      <c r="E667" s="404"/>
      <c r="F667" s="404"/>
      <c r="G667" s="94"/>
      <c r="H667" s="243"/>
      <c r="I667" s="404" t="s">
        <v>494</v>
      </c>
      <c r="J667" s="404"/>
      <c r="K667" s="58"/>
      <c r="L667" s="404" t="s">
        <v>328</v>
      </c>
      <c r="M667" s="404"/>
    </row>
    <row r="668" spans="1:13" s="33" customFormat="1" ht="18" customHeight="1">
      <c r="A668" s="405" t="s">
        <v>495</v>
      </c>
      <c r="B668" s="405"/>
      <c r="C668" s="405"/>
      <c r="D668" s="405"/>
      <c r="E668" s="405"/>
      <c r="F668" s="405"/>
      <c r="G668" s="15"/>
      <c r="H668" s="15"/>
      <c r="I668" s="406" t="s">
        <v>496</v>
      </c>
      <c r="J668" s="406"/>
      <c r="K668" s="15"/>
      <c r="L668" s="405" t="s">
        <v>497</v>
      </c>
      <c r="M668" s="405"/>
    </row>
    <row r="669" spans="1:13" s="33" customFormat="1" ht="18" customHeight="1">
      <c r="A669" s="100"/>
      <c r="B669" s="100"/>
      <c r="C669" s="100"/>
      <c r="D669" s="100"/>
      <c r="E669" s="100"/>
      <c r="F669" s="100"/>
      <c r="G669" s="198"/>
      <c r="H669" s="227"/>
      <c r="I669" s="228"/>
      <c r="J669" s="228"/>
      <c r="K669" s="228"/>
      <c r="L669" s="228"/>
      <c r="M669" s="228"/>
    </row>
    <row r="670" spans="1:13" s="33" customFormat="1" ht="18" customHeight="1">
      <c r="A670" s="100"/>
      <c r="B670" s="100"/>
      <c r="C670" s="100"/>
      <c r="D670" s="100"/>
      <c r="E670" s="100"/>
      <c r="F670" s="100"/>
      <c r="G670" s="198"/>
      <c r="H670" s="227"/>
      <c r="I670" s="228"/>
      <c r="J670" s="228"/>
      <c r="K670" s="228"/>
      <c r="L670" s="228"/>
      <c r="M670" s="228"/>
    </row>
    <row r="671" spans="1:13" s="33" customFormat="1" ht="18" customHeight="1">
      <c r="A671" s="100"/>
      <c r="B671" s="100"/>
      <c r="C671" s="100"/>
      <c r="D671" s="100"/>
      <c r="E671" s="100"/>
      <c r="F671" s="100"/>
      <c r="G671" s="198"/>
      <c r="H671" s="227"/>
      <c r="I671" s="228"/>
      <c r="J671" s="228"/>
      <c r="K671" s="228"/>
      <c r="L671" s="228"/>
      <c r="M671" s="228"/>
    </row>
    <row r="672" spans="1:13" s="33" customFormat="1" ht="18" customHeight="1">
      <c r="A672" s="100"/>
      <c r="B672" s="100"/>
      <c r="C672" s="100"/>
      <c r="D672" s="100"/>
      <c r="E672" s="100"/>
      <c r="F672" s="100"/>
      <c r="G672" s="198"/>
      <c r="H672" s="227"/>
      <c r="I672" s="228"/>
      <c r="J672" s="228"/>
      <c r="K672" s="228"/>
      <c r="L672" s="228"/>
      <c r="M672" s="228"/>
    </row>
    <row r="673" spans="1:13" s="33" customFormat="1" ht="18" customHeight="1">
      <c r="A673" s="100"/>
      <c r="B673" s="100"/>
      <c r="C673" s="100"/>
      <c r="D673" s="100"/>
      <c r="E673" s="100"/>
      <c r="F673" s="100"/>
      <c r="G673" s="198"/>
      <c r="H673" s="227"/>
      <c r="I673" s="228"/>
      <c r="J673" s="228"/>
      <c r="K673" s="228"/>
      <c r="L673" s="228"/>
      <c r="M673" s="228"/>
    </row>
    <row r="674" spans="1:13" s="33" customFormat="1" ht="18" customHeight="1">
      <c r="A674" s="100"/>
      <c r="B674" s="100"/>
      <c r="C674" s="100"/>
      <c r="D674" s="100"/>
      <c r="E674" s="100"/>
      <c r="F674" s="100"/>
      <c r="G674" s="198"/>
      <c r="H674" s="227"/>
      <c r="I674" s="228"/>
      <c r="J674" s="228"/>
      <c r="K674" s="228"/>
      <c r="L674" s="228"/>
      <c r="M674" s="228"/>
    </row>
    <row r="675" spans="1:13" s="33" customFormat="1" ht="18" customHeight="1">
      <c r="A675" s="100"/>
      <c r="B675" s="100"/>
      <c r="C675" s="100"/>
      <c r="D675" s="100"/>
      <c r="E675" s="100"/>
      <c r="F675" s="100"/>
      <c r="G675" s="198"/>
      <c r="H675" s="227"/>
      <c r="I675" s="228"/>
      <c r="J675" s="228"/>
      <c r="K675" s="228"/>
      <c r="L675" s="228"/>
      <c r="M675" s="228"/>
    </row>
    <row r="676" spans="1:13" s="15" customFormat="1" ht="15" customHeight="1">
      <c r="A676" s="407"/>
      <c r="B676" s="407"/>
      <c r="C676" s="407"/>
      <c r="D676" s="407"/>
      <c r="E676" s="407"/>
      <c r="F676" s="407"/>
      <c r="G676" s="407"/>
      <c r="H676" s="407"/>
      <c r="I676" s="407"/>
      <c r="J676" s="407"/>
      <c r="K676" s="407"/>
      <c r="L676" s="407"/>
      <c r="M676" s="407"/>
    </row>
    <row r="677" spans="1:13" s="15" customFormat="1" ht="15" customHeight="1">
      <c r="A677" s="407"/>
      <c r="B677" s="407"/>
      <c r="C677" s="407"/>
      <c r="D677" s="407"/>
      <c r="E677" s="407"/>
      <c r="F677" s="407"/>
      <c r="G677" s="407"/>
      <c r="H677" s="407"/>
      <c r="I677" s="407"/>
      <c r="J677" s="407"/>
      <c r="K677" s="407"/>
      <c r="L677" s="407"/>
      <c r="M677" s="407"/>
    </row>
    <row r="678" spans="1:13" s="15" customFormat="1" ht="15" customHeight="1">
      <c r="A678" s="407"/>
      <c r="B678" s="407"/>
      <c r="C678" s="407"/>
      <c r="D678" s="407"/>
      <c r="E678" s="407"/>
      <c r="F678" s="407"/>
      <c r="G678" s="407"/>
      <c r="H678" s="407"/>
      <c r="I678" s="407"/>
      <c r="J678" s="407"/>
      <c r="K678" s="407"/>
      <c r="L678" s="407"/>
      <c r="M678" s="407"/>
    </row>
    <row r="679" spans="1:13" s="15" customFormat="1" ht="15" customHeight="1">
      <c r="A679" s="407"/>
      <c r="B679" s="407"/>
      <c r="C679" s="407"/>
      <c r="D679" s="407"/>
      <c r="E679" s="407"/>
      <c r="F679" s="407"/>
      <c r="G679" s="407"/>
      <c r="H679" s="407"/>
      <c r="I679" s="407"/>
      <c r="J679" s="407"/>
      <c r="K679" s="407"/>
      <c r="L679" s="407"/>
      <c r="M679" s="407"/>
    </row>
    <row r="680" spans="1:13" s="15" customFormat="1" ht="15" customHeight="1">
      <c r="A680" s="399" t="s">
        <v>481</v>
      </c>
      <c r="B680" s="399"/>
      <c r="C680" s="399"/>
      <c r="D680" s="399"/>
      <c r="E680" s="399"/>
      <c r="F680" s="399"/>
      <c r="G680" s="399"/>
      <c r="H680" s="399"/>
      <c r="I680" s="399"/>
      <c r="J680" s="399"/>
      <c r="K680" s="399"/>
      <c r="L680" s="399"/>
      <c r="M680" s="399"/>
    </row>
    <row r="681" spans="1:13" s="15" customFormat="1" ht="15" customHeight="1">
      <c r="A681" s="244"/>
      <c r="B681" s="244"/>
      <c r="C681" s="244"/>
      <c r="D681" s="244"/>
      <c r="E681" s="244"/>
      <c r="F681" s="244"/>
      <c r="G681" s="244"/>
      <c r="H681" s="244"/>
      <c r="I681" s="244"/>
      <c r="J681" s="244"/>
      <c r="K681" s="244"/>
      <c r="L681" s="244"/>
      <c r="M681" s="244"/>
    </row>
    <row r="682" spans="1:13" s="15" customFormat="1" ht="15" customHeight="1">
      <c r="A682" s="238" t="s">
        <v>482</v>
      </c>
      <c r="B682" s="238"/>
      <c r="C682" s="238"/>
      <c r="D682" s="239"/>
      <c r="E682" s="239"/>
      <c r="F682" s="238" t="s">
        <v>483</v>
      </c>
      <c r="G682" s="238"/>
      <c r="H682" s="238"/>
      <c r="I682" s="238"/>
      <c r="J682" s="238" t="s">
        <v>484</v>
      </c>
      <c r="K682" s="238" t="str">
        <f>$K$9</f>
        <v>2025</v>
      </c>
      <c r="L682" s="238"/>
      <c r="M682" s="238"/>
    </row>
    <row r="683" spans="1:13" s="81" customFormat="1" ht="18" customHeight="1">
      <c r="A683" s="238" t="s">
        <v>485</v>
      </c>
      <c r="B683" s="238"/>
      <c r="C683" s="238"/>
      <c r="D683" s="239"/>
      <c r="E683" s="238"/>
      <c r="F683" s="238" t="s">
        <v>486</v>
      </c>
      <c r="G683" s="238"/>
      <c r="H683" s="238"/>
      <c r="I683" s="238"/>
      <c r="J683" s="238" t="s">
        <v>487</v>
      </c>
      <c r="K683" s="94" t="s">
        <v>514</v>
      </c>
      <c r="L683" s="238"/>
      <c r="M683" s="238"/>
    </row>
    <row r="684" spans="1:13" s="81" customFormat="1" ht="15.75">
      <c r="A684" s="238" t="s">
        <v>489</v>
      </c>
      <c r="B684" s="238"/>
      <c r="C684" s="238"/>
      <c r="D684" s="238"/>
      <c r="E684" s="238"/>
      <c r="F684" s="238"/>
      <c r="G684" s="238"/>
      <c r="H684" s="238"/>
      <c r="I684" s="238"/>
      <c r="J684" s="238"/>
      <c r="K684" s="238"/>
      <c r="L684" s="238"/>
      <c r="M684" s="238"/>
    </row>
    <row r="685" spans="1:13" s="15" customFormat="1" ht="18" customHeight="1" thickBot="1">
      <c r="A685" s="81"/>
      <c r="B685" s="81"/>
      <c r="C685" s="81"/>
      <c r="D685" s="81"/>
      <c r="E685" s="81"/>
      <c r="F685" s="81"/>
      <c r="G685" s="82"/>
      <c r="H685" s="81"/>
      <c r="I685" s="83"/>
      <c r="J685" s="81"/>
      <c r="K685" s="81"/>
      <c r="L685" s="84"/>
      <c r="M685" s="84"/>
    </row>
    <row r="686" spans="1:13" ht="18" customHeight="1">
      <c r="A686" s="192"/>
      <c r="B686" s="193"/>
      <c r="C686" s="193"/>
      <c r="D686" s="193"/>
      <c r="E686" s="193"/>
      <c r="F686" s="194"/>
      <c r="G686" s="195"/>
      <c r="H686" s="196"/>
      <c r="I686" s="196" t="s">
        <v>3</v>
      </c>
      <c r="J686" s="394" t="s">
        <v>188</v>
      </c>
      <c r="K686" s="395"/>
      <c r="L686" s="396"/>
      <c r="M686" s="197" t="s">
        <v>4</v>
      </c>
    </row>
    <row r="687" spans="1:13" ht="18" customHeight="1">
      <c r="A687" s="388"/>
      <c r="B687" s="389"/>
      <c r="C687" s="389"/>
      <c r="D687" s="389"/>
      <c r="E687" s="389"/>
      <c r="F687" s="390"/>
      <c r="G687" s="199"/>
      <c r="H687" s="200"/>
      <c r="I687" s="200">
        <v>2023</v>
      </c>
      <c r="J687" s="200" t="s">
        <v>137</v>
      </c>
      <c r="K687" s="200" t="s">
        <v>138</v>
      </c>
      <c r="L687" s="200">
        <v>2024</v>
      </c>
      <c r="M687" s="201">
        <v>2025</v>
      </c>
    </row>
    <row r="688" spans="1:13" ht="18" customHeight="1">
      <c r="A688" s="388" t="s">
        <v>8</v>
      </c>
      <c r="B688" s="389"/>
      <c r="C688" s="389"/>
      <c r="D688" s="389"/>
      <c r="E688" s="389"/>
      <c r="F688" s="390"/>
      <c r="G688" s="202"/>
      <c r="H688" s="203" t="s">
        <v>186</v>
      </c>
      <c r="I688" s="200" t="s">
        <v>311</v>
      </c>
      <c r="J688" s="200" t="s">
        <v>136</v>
      </c>
      <c r="K688" s="200" t="s">
        <v>139</v>
      </c>
      <c r="L688" s="200" t="s">
        <v>311</v>
      </c>
      <c r="M688" s="201" t="s">
        <v>311</v>
      </c>
    </row>
    <row r="689" spans="1:13" ht="18" customHeight="1">
      <c r="A689" s="204"/>
      <c r="B689" s="99"/>
      <c r="C689" s="99"/>
      <c r="D689" s="99"/>
      <c r="E689" s="99"/>
      <c r="F689" s="205"/>
      <c r="G689" s="202"/>
      <c r="H689" s="200"/>
      <c r="I689" s="200" t="s">
        <v>136</v>
      </c>
      <c r="J689" s="200">
        <v>2024</v>
      </c>
      <c r="K689" s="200">
        <v>2024</v>
      </c>
      <c r="L689" s="200" t="s">
        <v>312</v>
      </c>
      <c r="M689" s="201" t="s">
        <v>140</v>
      </c>
    </row>
    <row r="690" spans="1:13" ht="18" customHeight="1" thickBot="1">
      <c r="A690" s="391"/>
      <c r="B690" s="392"/>
      <c r="C690" s="392"/>
      <c r="D690" s="392"/>
      <c r="E690" s="392"/>
      <c r="F690" s="393"/>
      <c r="G690" s="206"/>
      <c r="H690" s="207"/>
      <c r="I690" s="207"/>
      <c r="J690" s="207"/>
      <c r="K690" s="207"/>
      <c r="L690" s="207"/>
      <c r="M690" s="208"/>
    </row>
    <row r="691" spans="1:13" ht="18" customHeight="1">
      <c r="A691" s="209"/>
      <c r="B691" s="210" t="s">
        <v>51</v>
      </c>
      <c r="C691" s="211"/>
      <c r="D691" s="210"/>
      <c r="E691" s="210"/>
      <c r="F691" s="212"/>
      <c r="G691" s="213"/>
      <c r="H691" s="225"/>
      <c r="I691" s="226"/>
      <c r="J691" s="62"/>
      <c r="K691" s="62"/>
      <c r="L691" s="62"/>
      <c r="M691" s="62"/>
    </row>
    <row r="692" spans="1:13" s="97" customFormat="1" ht="18" customHeight="1">
      <c r="A692" s="133"/>
      <c r="B692" s="127"/>
      <c r="C692" s="127" t="s">
        <v>102</v>
      </c>
      <c r="D692" s="127"/>
      <c r="E692" s="127"/>
      <c r="F692" s="128"/>
      <c r="G692" s="129"/>
      <c r="H692" s="167"/>
      <c r="I692" s="168"/>
      <c r="J692" s="63"/>
      <c r="K692" s="63"/>
      <c r="L692" s="63"/>
      <c r="M692" s="63"/>
    </row>
    <row r="693" spans="1:13" s="97" customFormat="1" ht="18" customHeight="1">
      <c r="A693" s="133"/>
      <c r="B693" s="127"/>
      <c r="C693" s="127"/>
      <c r="D693" s="127" t="s">
        <v>103</v>
      </c>
      <c r="E693" s="127"/>
      <c r="F693" s="128"/>
      <c r="G693" s="129" t="s">
        <v>156</v>
      </c>
      <c r="H693" s="130" t="s">
        <v>196</v>
      </c>
      <c r="I693" s="135">
        <v>1531656</v>
      </c>
      <c r="J693" s="39">
        <v>765859.22</v>
      </c>
      <c r="K693" s="39">
        <f>1570997-J693</f>
        <v>805137.78</v>
      </c>
      <c r="L693" s="39">
        <f>SUM(K693+J693)</f>
        <v>1570997</v>
      </c>
      <c r="M693" s="39">
        <v>1731360</v>
      </c>
    </row>
    <row r="694" spans="1:13" s="97" customFormat="1" ht="18" customHeight="1">
      <c r="A694" s="133"/>
      <c r="B694" s="127"/>
      <c r="C694" s="127" t="s">
        <v>104</v>
      </c>
      <c r="D694" s="127"/>
      <c r="E694" s="127"/>
      <c r="F694" s="128"/>
      <c r="G694" s="129"/>
      <c r="H694" s="167"/>
      <c r="I694" s="135"/>
      <c r="J694" s="39"/>
      <c r="K694" s="39"/>
      <c r="L694" s="39"/>
      <c r="M694" s="39"/>
    </row>
    <row r="695" spans="1:13" s="97" customFormat="1" ht="18" customHeight="1">
      <c r="A695" s="133"/>
      <c r="B695" s="127"/>
      <c r="C695" s="127"/>
      <c r="D695" s="127" t="s">
        <v>105</v>
      </c>
      <c r="E695" s="127"/>
      <c r="F695" s="128"/>
      <c r="G695" s="129" t="s">
        <v>157</v>
      </c>
      <c r="H695" s="130" t="s">
        <v>197</v>
      </c>
      <c r="I695" s="135">
        <v>72000</v>
      </c>
      <c r="J695" s="39">
        <v>36000</v>
      </c>
      <c r="K695" s="39">
        <f>72000-J695</f>
        <v>36000</v>
      </c>
      <c r="L695" s="39">
        <f t="shared" ref="L695:L713" si="50">SUM(K695+J695)</f>
        <v>72000</v>
      </c>
      <c r="M695" s="39">
        <v>72000</v>
      </c>
    </row>
    <row r="696" spans="1:13" s="97" customFormat="1" ht="18" customHeight="1">
      <c r="A696" s="133"/>
      <c r="B696" s="127"/>
      <c r="C696" s="127"/>
      <c r="D696" s="127" t="s">
        <v>107</v>
      </c>
      <c r="E696" s="127"/>
      <c r="F696" s="128"/>
      <c r="G696" s="129" t="s">
        <v>158</v>
      </c>
      <c r="H696" s="130" t="s">
        <v>198</v>
      </c>
      <c r="I696" s="135">
        <v>76500</v>
      </c>
      <c r="J696" s="39">
        <v>43350</v>
      </c>
      <c r="K696" s="39">
        <f>86700-J696</f>
        <v>43350</v>
      </c>
      <c r="L696" s="39">
        <f t="shared" si="50"/>
        <v>86700</v>
      </c>
      <c r="M696" s="39">
        <v>86700</v>
      </c>
    </row>
    <row r="697" spans="1:13" s="97" customFormat="1" ht="18" customHeight="1">
      <c r="A697" s="133"/>
      <c r="B697" s="127"/>
      <c r="C697" s="127"/>
      <c r="D697" s="127" t="s">
        <v>106</v>
      </c>
      <c r="E697" s="127"/>
      <c r="F697" s="128"/>
      <c r="G697" s="129" t="s">
        <v>159</v>
      </c>
      <c r="H697" s="130" t="s">
        <v>199</v>
      </c>
      <c r="I697" s="135">
        <v>76500</v>
      </c>
      <c r="J697" s="39">
        <v>43350</v>
      </c>
      <c r="K697" s="39">
        <f>86700-J697</f>
        <v>43350</v>
      </c>
      <c r="L697" s="39">
        <f t="shared" si="50"/>
        <v>86700</v>
      </c>
      <c r="M697" s="39">
        <v>86700</v>
      </c>
    </row>
    <row r="698" spans="1:13" s="97" customFormat="1" ht="18" customHeight="1">
      <c r="A698" s="133"/>
      <c r="B698" s="127"/>
      <c r="C698" s="127"/>
      <c r="D698" s="127" t="s">
        <v>108</v>
      </c>
      <c r="E698" s="127"/>
      <c r="F698" s="128"/>
      <c r="G698" s="129" t="s">
        <v>160</v>
      </c>
      <c r="H698" s="130" t="s">
        <v>200</v>
      </c>
      <c r="I698" s="135">
        <v>18000</v>
      </c>
      <c r="J698" s="39">
        <v>21000</v>
      </c>
      <c r="K698" s="39">
        <f>21000-J698</f>
        <v>0</v>
      </c>
      <c r="L698" s="39">
        <f t="shared" si="50"/>
        <v>21000</v>
      </c>
      <c r="M698" s="39">
        <v>21000</v>
      </c>
    </row>
    <row r="699" spans="1:13" s="97" customFormat="1" ht="18" customHeight="1">
      <c r="A699" s="133"/>
      <c r="B699" s="127"/>
      <c r="C699" s="127"/>
      <c r="D699" s="127" t="s">
        <v>194</v>
      </c>
      <c r="E699" s="127"/>
      <c r="F699" s="128"/>
      <c r="G699" s="129" t="s">
        <v>162</v>
      </c>
      <c r="H699" s="130" t="s">
        <v>201</v>
      </c>
      <c r="I699" s="135">
        <v>15000</v>
      </c>
      <c r="J699" s="39">
        <v>0</v>
      </c>
      <c r="K699" s="39">
        <f>15000-J699</f>
        <v>15000</v>
      </c>
      <c r="L699" s="39">
        <f t="shared" si="50"/>
        <v>15000</v>
      </c>
      <c r="M699" s="39">
        <v>15000</v>
      </c>
    </row>
    <row r="700" spans="1:13" s="97" customFormat="1" ht="18" customHeight="1">
      <c r="A700" s="133"/>
      <c r="B700" s="127"/>
      <c r="C700" s="127"/>
      <c r="D700" s="127" t="s">
        <v>110</v>
      </c>
      <c r="E700" s="127"/>
      <c r="F700" s="128"/>
      <c r="G700" s="129" t="s">
        <v>92</v>
      </c>
      <c r="H700" s="130" t="s">
        <v>202</v>
      </c>
      <c r="I700" s="135"/>
      <c r="J700" s="39"/>
      <c r="K700" s="39">
        <v>0</v>
      </c>
      <c r="L700" s="39">
        <f t="shared" si="50"/>
        <v>0</v>
      </c>
      <c r="M700" s="39">
        <v>5000</v>
      </c>
    </row>
    <row r="701" spans="1:13" s="97" customFormat="1" ht="18" customHeight="1">
      <c r="A701" s="133"/>
      <c r="B701" s="127"/>
      <c r="C701" s="127"/>
      <c r="D701" s="127" t="s">
        <v>354</v>
      </c>
      <c r="E701" s="127"/>
      <c r="F701" s="128"/>
      <c r="G701" s="129" t="s">
        <v>92</v>
      </c>
      <c r="H701" s="130" t="s">
        <v>202</v>
      </c>
      <c r="I701" s="135"/>
      <c r="J701" s="39"/>
      <c r="K701" s="39">
        <f>0-J701</f>
        <v>0</v>
      </c>
      <c r="L701" s="39">
        <f t="shared" si="50"/>
        <v>0</v>
      </c>
      <c r="M701" s="39">
        <v>0</v>
      </c>
    </row>
    <row r="702" spans="1:13" s="97" customFormat="1" ht="18" customHeight="1">
      <c r="A702" s="133"/>
      <c r="B702" s="127"/>
      <c r="C702" s="127"/>
      <c r="D702" s="127" t="s">
        <v>421</v>
      </c>
      <c r="E702" s="127"/>
      <c r="F702" s="128"/>
      <c r="G702" s="129"/>
      <c r="H702" s="130" t="s">
        <v>202</v>
      </c>
      <c r="I702" s="135"/>
      <c r="J702" s="39">
        <v>0</v>
      </c>
      <c r="K702" s="39">
        <f>0-J702</f>
        <v>0</v>
      </c>
      <c r="L702" s="39">
        <f t="shared" si="50"/>
        <v>0</v>
      </c>
      <c r="M702" s="39">
        <v>21000</v>
      </c>
    </row>
    <row r="703" spans="1:13" s="97" customFormat="1" ht="18" customHeight="1">
      <c r="A703" s="133"/>
      <c r="B703" s="127"/>
      <c r="C703" s="127"/>
      <c r="D703" s="127" t="s">
        <v>112</v>
      </c>
      <c r="E703" s="127"/>
      <c r="F703" s="128"/>
      <c r="G703" s="129" t="s">
        <v>165</v>
      </c>
      <c r="H703" s="130" t="s">
        <v>203</v>
      </c>
      <c r="I703" s="135">
        <v>15000</v>
      </c>
      <c r="J703" s="39">
        <v>0</v>
      </c>
      <c r="K703" s="39">
        <f>15000-J703</f>
        <v>15000</v>
      </c>
      <c r="L703" s="39">
        <f t="shared" si="50"/>
        <v>15000</v>
      </c>
      <c r="M703" s="39">
        <v>15000</v>
      </c>
    </row>
    <row r="704" spans="1:13" s="97" customFormat="1" ht="18" customHeight="1">
      <c r="A704" s="133"/>
      <c r="B704" s="127"/>
      <c r="C704" s="127"/>
      <c r="D704" s="127" t="s">
        <v>252</v>
      </c>
      <c r="E704" s="127"/>
      <c r="F704" s="127"/>
      <c r="G704" s="138" t="s">
        <v>92</v>
      </c>
      <c r="H704" s="130" t="s">
        <v>202</v>
      </c>
      <c r="I704" s="135">
        <v>127638</v>
      </c>
      <c r="J704" s="39">
        <v>127638</v>
      </c>
      <c r="K704" s="39">
        <f>127638-J704</f>
        <v>0</v>
      </c>
      <c r="L704" s="39">
        <f t="shared" si="50"/>
        <v>127638</v>
      </c>
      <c r="M704" s="39">
        <v>142140</v>
      </c>
    </row>
    <row r="705" spans="1:13" s="97" customFormat="1" ht="18" customHeight="1">
      <c r="A705" s="133"/>
      <c r="B705" s="127"/>
      <c r="C705" s="127"/>
      <c r="D705" s="127" t="s">
        <v>113</v>
      </c>
      <c r="E705" s="127"/>
      <c r="F705" s="128"/>
      <c r="G705" s="129" t="s">
        <v>166</v>
      </c>
      <c r="H705" s="130" t="s">
        <v>204</v>
      </c>
      <c r="I705" s="135">
        <v>127638</v>
      </c>
      <c r="J705" s="39">
        <v>0</v>
      </c>
      <c r="K705" s="39">
        <f>135271-J705</f>
        <v>135271</v>
      </c>
      <c r="L705" s="39">
        <f t="shared" si="50"/>
        <v>135271</v>
      </c>
      <c r="M705" s="39">
        <v>148560</v>
      </c>
    </row>
    <row r="706" spans="1:13" s="97" customFormat="1" ht="18" customHeight="1">
      <c r="A706" s="133"/>
      <c r="B706" s="127"/>
      <c r="C706" s="127"/>
      <c r="D706" s="127" t="s">
        <v>190</v>
      </c>
      <c r="E706" s="127"/>
      <c r="F706" s="128"/>
      <c r="G706" s="129" t="s">
        <v>167</v>
      </c>
      <c r="H706" s="130" t="s">
        <v>205</v>
      </c>
      <c r="I706" s="135">
        <f>182817.6+981.12</f>
        <v>183798.72</v>
      </c>
      <c r="J706" s="39">
        <v>76609.960000000006</v>
      </c>
      <c r="K706" s="39">
        <f>189000-J706</f>
        <v>112390.04</v>
      </c>
      <c r="L706" s="39">
        <f t="shared" si="50"/>
        <v>189000</v>
      </c>
      <c r="M706" s="39">
        <v>208000</v>
      </c>
    </row>
    <row r="707" spans="1:13" s="97" customFormat="1" ht="18" customHeight="1">
      <c r="A707" s="133"/>
      <c r="B707" s="127"/>
      <c r="C707" s="127"/>
      <c r="D707" s="127" t="s">
        <v>114</v>
      </c>
      <c r="E707" s="127"/>
      <c r="F707" s="128"/>
      <c r="G707" s="129" t="s">
        <v>168</v>
      </c>
      <c r="H707" s="130" t="s">
        <v>206</v>
      </c>
      <c r="I707" s="135">
        <f>3300+300</f>
        <v>3600</v>
      </c>
      <c r="J707" s="39">
        <v>2700</v>
      </c>
      <c r="K707" s="39">
        <f>7200-J707</f>
        <v>4500</v>
      </c>
      <c r="L707" s="39">
        <f t="shared" si="50"/>
        <v>7200</v>
      </c>
      <c r="M707" s="39">
        <v>7200</v>
      </c>
    </row>
    <row r="708" spans="1:13" s="97" customFormat="1" ht="18" customHeight="1">
      <c r="A708" s="133"/>
      <c r="B708" s="127"/>
      <c r="C708" s="127"/>
      <c r="D708" s="127" t="s">
        <v>115</v>
      </c>
      <c r="E708" s="127"/>
      <c r="F708" s="128"/>
      <c r="G708" s="129" t="s">
        <v>169</v>
      </c>
      <c r="H708" s="130" t="s">
        <v>207</v>
      </c>
      <c r="I708" s="135">
        <v>30240</v>
      </c>
      <c r="J708" s="39">
        <v>15960.8</v>
      </c>
      <c r="K708" s="39">
        <f>40000-J708</f>
        <v>24039.200000000001</v>
      </c>
      <c r="L708" s="39">
        <f t="shared" si="50"/>
        <v>40000</v>
      </c>
      <c r="M708" s="39">
        <v>44000</v>
      </c>
    </row>
    <row r="709" spans="1:13" s="97" customFormat="1" ht="18" customHeight="1">
      <c r="A709" s="133"/>
      <c r="B709" s="127"/>
      <c r="C709" s="127"/>
      <c r="D709" s="127" t="s">
        <v>189</v>
      </c>
      <c r="E709" s="127"/>
      <c r="F709" s="128"/>
      <c r="G709" s="129" t="s">
        <v>170</v>
      </c>
      <c r="H709" s="130" t="s">
        <v>208</v>
      </c>
      <c r="I709" s="135">
        <v>3600</v>
      </c>
      <c r="J709" s="39">
        <v>1500</v>
      </c>
      <c r="K709" s="39">
        <f>3600-J709</f>
        <v>2100</v>
      </c>
      <c r="L709" s="39">
        <f t="shared" si="50"/>
        <v>3600</v>
      </c>
      <c r="M709" s="39">
        <v>3600</v>
      </c>
    </row>
    <row r="710" spans="1:13" s="97" customFormat="1" ht="18" customHeight="1">
      <c r="A710" s="133"/>
      <c r="B710" s="127"/>
      <c r="C710" s="127"/>
      <c r="D710" s="127" t="s">
        <v>54</v>
      </c>
      <c r="E710" s="127"/>
      <c r="F710" s="128"/>
      <c r="G710" s="129" t="s">
        <v>171</v>
      </c>
      <c r="H710" s="130" t="s">
        <v>209</v>
      </c>
      <c r="I710" s="135"/>
      <c r="J710" s="39"/>
      <c r="K710" s="39">
        <v>0</v>
      </c>
      <c r="L710" s="39">
        <f t="shared" si="50"/>
        <v>0</v>
      </c>
      <c r="M710" s="39">
        <v>0</v>
      </c>
    </row>
    <row r="711" spans="1:13" s="97" customFormat="1" ht="18" customHeight="1">
      <c r="A711" s="133"/>
      <c r="B711" s="127"/>
      <c r="C711" s="127"/>
      <c r="D711" s="127" t="s">
        <v>117</v>
      </c>
      <c r="E711" s="127"/>
      <c r="F711" s="128"/>
      <c r="G711" s="129" t="s">
        <v>67</v>
      </c>
      <c r="H711" s="130" t="s">
        <v>220</v>
      </c>
      <c r="I711" s="135"/>
      <c r="J711" s="39">
        <v>116611.21</v>
      </c>
      <c r="K711" s="39">
        <f>116611.21-J711</f>
        <v>0</v>
      </c>
      <c r="L711" s="39">
        <f t="shared" si="50"/>
        <v>116611.21</v>
      </c>
      <c r="M711" s="39">
        <v>0</v>
      </c>
    </row>
    <row r="712" spans="1:13" s="97" customFormat="1" ht="18" customHeight="1">
      <c r="A712" s="133"/>
      <c r="B712" s="127"/>
      <c r="C712" s="127"/>
      <c r="D712" s="127" t="s">
        <v>343</v>
      </c>
      <c r="E712" s="127"/>
      <c r="F712" s="128"/>
      <c r="G712" s="129"/>
      <c r="H712" s="130" t="s">
        <v>220</v>
      </c>
      <c r="I712" s="135">
        <v>60000</v>
      </c>
      <c r="J712" s="39"/>
      <c r="K712" s="39">
        <f>60000-J712</f>
        <v>60000</v>
      </c>
      <c r="L712" s="39">
        <f t="shared" si="50"/>
        <v>60000</v>
      </c>
      <c r="M712" s="39">
        <v>0</v>
      </c>
    </row>
    <row r="713" spans="1:13" s="97" customFormat="1" ht="18" customHeight="1">
      <c r="A713" s="133"/>
      <c r="B713" s="127"/>
      <c r="C713" s="127"/>
      <c r="D713" s="191" t="s">
        <v>423</v>
      </c>
      <c r="E713" s="127"/>
      <c r="F713" s="128"/>
      <c r="G713" s="129"/>
      <c r="H713" s="130" t="s">
        <v>220</v>
      </c>
      <c r="I713" s="135">
        <v>90000</v>
      </c>
      <c r="J713" s="39"/>
      <c r="K713" s="39">
        <f>90000-J713</f>
        <v>90000</v>
      </c>
      <c r="L713" s="39">
        <f t="shared" si="50"/>
        <v>90000</v>
      </c>
      <c r="M713" s="39">
        <v>0</v>
      </c>
    </row>
    <row r="714" spans="1:13" ht="18" customHeight="1">
      <c r="A714" s="139"/>
      <c r="B714" s="140"/>
      <c r="C714" s="140"/>
      <c r="D714" s="140" t="s">
        <v>53</v>
      </c>
      <c r="E714" s="140"/>
      <c r="F714" s="141"/>
      <c r="G714" s="142"/>
      <c r="H714" s="169"/>
      <c r="I714" s="143">
        <f>SUM(I693:I713)</f>
        <v>2431170.7200000002</v>
      </c>
      <c r="J714" s="143">
        <f t="shared" ref="J714:M714" si="51">SUM(J693:J713)</f>
        <v>1250579.19</v>
      </c>
      <c r="K714" s="143">
        <f t="shared" si="51"/>
        <v>1386138.02</v>
      </c>
      <c r="L714" s="143">
        <f>SUM(L693:L713)</f>
        <v>2636717.21</v>
      </c>
      <c r="M714" s="143">
        <f t="shared" si="51"/>
        <v>2607260</v>
      </c>
    </row>
    <row r="715" spans="1:13" s="97" customFormat="1" ht="18" customHeight="1">
      <c r="A715" s="133"/>
      <c r="B715" s="127" t="s">
        <v>118</v>
      </c>
      <c r="C715" s="127"/>
      <c r="D715" s="127"/>
      <c r="E715" s="127"/>
      <c r="F715" s="128"/>
      <c r="G715" s="129"/>
      <c r="H715" s="167"/>
      <c r="I715" s="135"/>
      <c r="J715" s="39"/>
      <c r="K715" s="39"/>
      <c r="L715" s="39"/>
      <c r="M715" s="39"/>
    </row>
    <row r="716" spans="1:13" s="97" customFormat="1" ht="18" customHeight="1">
      <c r="A716" s="133"/>
      <c r="B716" s="127"/>
      <c r="C716" s="127"/>
      <c r="D716" s="127" t="s">
        <v>119</v>
      </c>
      <c r="E716" s="127"/>
      <c r="F716" s="128"/>
      <c r="G716" s="129" t="s">
        <v>60</v>
      </c>
      <c r="H716" s="130" t="s">
        <v>210</v>
      </c>
      <c r="I716" s="135">
        <v>52503.74</v>
      </c>
      <c r="J716" s="39">
        <v>2750</v>
      </c>
      <c r="K716" s="39">
        <f>80000-J716</f>
        <v>77250</v>
      </c>
      <c r="L716" s="39">
        <f t="shared" ref="L716:L723" si="52">SUM(K716+J716)</f>
        <v>80000</v>
      </c>
      <c r="M716" s="39">
        <v>80000</v>
      </c>
    </row>
    <row r="717" spans="1:13" s="97" customFormat="1" ht="18" customHeight="1">
      <c r="A717" s="133"/>
      <c r="B717" s="127"/>
      <c r="C717" s="127"/>
      <c r="D717" s="127" t="s">
        <v>91</v>
      </c>
      <c r="E717" s="127"/>
      <c r="F717" s="128"/>
      <c r="G717" s="129" t="s">
        <v>61</v>
      </c>
      <c r="H717" s="130" t="s">
        <v>211</v>
      </c>
      <c r="I717" s="135">
        <v>54365.83</v>
      </c>
      <c r="J717" s="39"/>
      <c r="K717" s="39">
        <f>60000-J717</f>
        <v>60000</v>
      </c>
      <c r="L717" s="39">
        <f t="shared" si="52"/>
        <v>60000</v>
      </c>
      <c r="M717" s="39">
        <v>60000</v>
      </c>
    </row>
    <row r="718" spans="1:13" s="97" customFormat="1" ht="18" customHeight="1">
      <c r="A718" s="133"/>
      <c r="B718" s="127"/>
      <c r="C718" s="127"/>
      <c r="D718" s="127" t="s">
        <v>58</v>
      </c>
      <c r="E718" s="127"/>
      <c r="F718" s="128"/>
      <c r="G718" s="129" t="s">
        <v>63</v>
      </c>
      <c r="H718" s="130" t="s">
        <v>212</v>
      </c>
      <c r="I718" s="135">
        <v>74430</v>
      </c>
      <c r="J718" s="39">
        <v>31643.79</v>
      </c>
      <c r="K718" s="39">
        <f>86261-J718</f>
        <v>54617.21</v>
      </c>
      <c r="L718" s="39">
        <f t="shared" si="52"/>
        <v>86261</v>
      </c>
      <c r="M718" s="39">
        <v>180000</v>
      </c>
    </row>
    <row r="719" spans="1:13" s="97" customFormat="1" ht="18" customHeight="1">
      <c r="A719" s="133"/>
      <c r="B719" s="127"/>
      <c r="C719" s="127"/>
      <c r="D719" s="127" t="s">
        <v>123</v>
      </c>
      <c r="E719" s="127"/>
      <c r="F719" s="128"/>
      <c r="G719" s="129" t="s">
        <v>175</v>
      </c>
      <c r="H719" s="130" t="s">
        <v>213</v>
      </c>
      <c r="I719" s="135"/>
      <c r="J719" s="39"/>
      <c r="K719" s="39">
        <f>0-J719</f>
        <v>0</v>
      </c>
      <c r="L719" s="39">
        <f t="shared" si="52"/>
        <v>0</v>
      </c>
      <c r="M719" s="39">
        <v>0</v>
      </c>
    </row>
    <row r="720" spans="1:13" s="97" customFormat="1" ht="18" customHeight="1">
      <c r="A720" s="133"/>
      <c r="B720" s="127"/>
      <c r="C720" s="127"/>
      <c r="D720" s="127" t="s">
        <v>125</v>
      </c>
      <c r="E720" s="127"/>
      <c r="F720" s="128"/>
      <c r="G720" s="129" t="s">
        <v>64</v>
      </c>
      <c r="H720" s="130" t="s">
        <v>214</v>
      </c>
      <c r="I720" s="135"/>
      <c r="J720" s="39">
        <v>18000</v>
      </c>
      <c r="K720" s="39">
        <f>36000-J720</f>
        <v>18000</v>
      </c>
      <c r="L720" s="39">
        <f t="shared" si="52"/>
        <v>36000</v>
      </c>
      <c r="M720" s="39">
        <v>24000</v>
      </c>
    </row>
    <row r="721" spans="1:13" s="97" customFormat="1" ht="18" customHeight="1">
      <c r="A721" s="133"/>
      <c r="B721" s="127"/>
      <c r="C721" s="127"/>
      <c r="D721" s="127" t="s">
        <v>304</v>
      </c>
      <c r="E721" s="127"/>
      <c r="F721" s="128"/>
      <c r="G721" s="129" t="s">
        <v>65</v>
      </c>
      <c r="H721" s="130" t="s">
        <v>215</v>
      </c>
      <c r="I721" s="135">
        <v>36000</v>
      </c>
      <c r="J721" s="39">
        <v>12638</v>
      </c>
      <c r="K721" s="39">
        <f>12638-J721</f>
        <v>0</v>
      </c>
      <c r="L721" s="39">
        <f t="shared" si="52"/>
        <v>12638</v>
      </c>
      <c r="M721" s="39">
        <v>40000</v>
      </c>
    </row>
    <row r="722" spans="1:13" s="97" customFormat="1" ht="18" customHeight="1">
      <c r="A722" s="133"/>
      <c r="B722" s="127"/>
      <c r="C722" s="127"/>
      <c r="D722" s="127" t="s">
        <v>131</v>
      </c>
      <c r="E722" s="127"/>
      <c r="F722" s="128"/>
      <c r="G722" s="129" t="s">
        <v>66</v>
      </c>
      <c r="H722" s="130" t="s">
        <v>216</v>
      </c>
      <c r="I722" s="135">
        <f>8350+4025</f>
        <v>12375</v>
      </c>
      <c r="J722" s="39">
        <v>1000</v>
      </c>
      <c r="K722" s="39">
        <f>15000-J722</f>
        <v>14000</v>
      </c>
      <c r="L722" s="39">
        <f t="shared" si="52"/>
        <v>15000</v>
      </c>
      <c r="M722" s="39">
        <v>15000</v>
      </c>
    </row>
    <row r="723" spans="1:13" ht="18" customHeight="1">
      <c r="A723" s="133"/>
      <c r="B723" s="127"/>
      <c r="C723" s="127"/>
      <c r="D723" s="127" t="s">
        <v>366</v>
      </c>
      <c r="E723" s="127"/>
      <c r="F723" s="128"/>
      <c r="G723" s="129"/>
      <c r="H723" s="130" t="s">
        <v>216</v>
      </c>
      <c r="I723" s="135"/>
      <c r="J723" s="39"/>
      <c r="K723" s="39">
        <f>0-J723</f>
        <v>0</v>
      </c>
      <c r="L723" s="39">
        <f t="shared" si="52"/>
        <v>0</v>
      </c>
      <c r="M723" s="39">
        <v>0</v>
      </c>
    </row>
    <row r="724" spans="1:13" ht="18" customHeight="1">
      <c r="A724" s="139"/>
      <c r="B724" s="140"/>
      <c r="C724" s="140"/>
      <c r="D724" s="140" t="s">
        <v>244</v>
      </c>
      <c r="E724" s="140"/>
      <c r="F724" s="141"/>
      <c r="G724" s="142"/>
      <c r="H724" s="169"/>
      <c r="I724" s="143">
        <f>SUM(I716:I723)</f>
        <v>229674.57</v>
      </c>
      <c r="J724" s="143">
        <f>SUM(J716:J723)</f>
        <v>66031.790000000008</v>
      </c>
      <c r="K724" s="143">
        <f>SUM(K716:K723)</f>
        <v>223867.21</v>
      </c>
      <c r="L724" s="143">
        <f>SUM(L716:L723)</f>
        <v>289899</v>
      </c>
      <c r="M724" s="143">
        <f>SUM(M716:M723)</f>
        <v>399000</v>
      </c>
    </row>
    <row r="725" spans="1:13" s="97" customFormat="1" ht="18" customHeight="1">
      <c r="A725" s="133"/>
      <c r="B725" s="127" t="s">
        <v>132</v>
      </c>
      <c r="C725" s="127"/>
      <c r="D725" s="127"/>
      <c r="E725" s="127"/>
      <c r="F725" s="128"/>
      <c r="G725" s="129"/>
      <c r="H725" s="167"/>
      <c r="I725" s="135"/>
      <c r="J725" s="39"/>
      <c r="K725" s="39"/>
      <c r="L725" s="39"/>
      <c r="M725" s="39"/>
    </row>
    <row r="726" spans="1:13" s="97" customFormat="1" ht="18" customHeight="1">
      <c r="A726" s="133"/>
      <c r="B726" s="127"/>
      <c r="C726" s="127"/>
      <c r="D726" s="127" t="s">
        <v>284</v>
      </c>
      <c r="E726" s="127"/>
      <c r="F726" s="128"/>
      <c r="G726" s="129" t="s">
        <v>287</v>
      </c>
      <c r="H726" s="130" t="s">
        <v>348</v>
      </c>
      <c r="I726" s="135">
        <v>0</v>
      </c>
      <c r="J726" s="39">
        <v>0</v>
      </c>
      <c r="K726" s="39">
        <f>0-J726</f>
        <v>0</v>
      </c>
      <c r="L726" s="39">
        <f>SUM(K726+J726)</f>
        <v>0</v>
      </c>
      <c r="M726" s="39">
        <v>0</v>
      </c>
    </row>
    <row r="727" spans="1:13" s="97" customFormat="1" ht="18" customHeight="1">
      <c r="A727" s="133"/>
      <c r="B727" s="127"/>
      <c r="C727" s="127"/>
      <c r="D727" s="127" t="s">
        <v>292</v>
      </c>
      <c r="E727" s="127"/>
      <c r="F727" s="128"/>
      <c r="G727" s="129"/>
      <c r="H727" s="130" t="s">
        <v>293</v>
      </c>
      <c r="I727" s="135">
        <v>0</v>
      </c>
      <c r="J727" s="39">
        <v>0</v>
      </c>
      <c r="K727" s="39">
        <f t="shared" ref="K727:K729" si="53">0-J727</f>
        <v>0</v>
      </c>
      <c r="L727" s="39">
        <f>SUM(K727+J727)</f>
        <v>0</v>
      </c>
      <c r="M727" s="39">
        <v>0</v>
      </c>
    </row>
    <row r="728" spans="1:13" s="97" customFormat="1" ht="18" customHeight="1">
      <c r="A728" s="133"/>
      <c r="B728" s="127"/>
      <c r="C728" s="127"/>
      <c r="D728" s="127" t="s">
        <v>324</v>
      </c>
      <c r="E728" s="127"/>
      <c r="F728" s="128"/>
      <c r="G728" s="129"/>
      <c r="H728" s="130" t="s">
        <v>325</v>
      </c>
      <c r="I728" s="135">
        <v>0</v>
      </c>
      <c r="J728" s="39">
        <v>0</v>
      </c>
      <c r="K728" s="39">
        <f t="shared" si="53"/>
        <v>0</v>
      </c>
      <c r="L728" s="39">
        <f>SUM(K728+J728)</f>
        <v>0</v>
      </c>
      <c r="M728" s="39">
        <v>0</v>
      </c>
    </row>
    <row r="729" spans="1:13" s="97" customFormat="1" ht="18" customHeight="1">
      <c r="A729" s="133"/>
      <c r="B729" s="127"/>
      <c r="C729" s="127"/>
      <c r="D729" s="127" t="s">
        <v>288</v>
      </c>
      <c r="E729" s="127"/>
      <c r="F729" s="128"/>
      <c r="G729" s="129" t="s">
        <v>289</v>
      </c>
      <c r="H729" s="130" t="s">
        <v>290</v>
      </c>
      <c r="I729" s="135">
        <v>0</v>
      </c>
      <c r="J729" s="39">
        <v>0</v>
      </c>
      <c r="K729" s="39">
        <f t="shared" si="53"/>
        <v>0</v>
      </c>
      <c r="L729" s="39">
        <f>SUM(K729+J729)</f>
        <v>0</v>
      </c>
      <c r="M729" s="39">
        <v>160000</v>
      </c>
    </row>
    <row r="730" spans="1:13" s="97" customFormat="1" ht="18" customHeight="1">
      <c r="A730" s="139"/>
      <c r="B730" s="140"/>
      <c r="C730" s="140"/>
      <c r="D730" s="140" t="s">
        <v>245</v>
      </c>
      <c r="E730" s="140"/>
      <c r="F730" s="141"/>
      <c r="G730" s="142"/>
      <c r="H730" s="169"/>
      <c r="I730" s="143">
        <f>SUM(I726:I729)</f>
        <v>0</v>
      </c>
      <c r="J730" s="143">
        <f>SUM(J726:J729)</f>
        <v>0</v>
      </c>
      <c r="K730" s="143">
        <f>SUM(K726:K729)</f>
        <v>0</v>
      </c>
      <c r="L730" s="143">
        <f>SUM(L726:L729)</f>
        <v>0</v>
      </c>
      <c r="M730" s="143">
        <f>SUM(M726:M729)</f>
        <v>160000</v>
      </c>
    </row>
    <row r="731" spans="1:13" s="97" customFormat="1" ht="18" customHeight="1">
      <c r="A731" s="139"/>
      <c r="B731" s="140"/>
      <c r="C731" s="140"/>
      <c r="D731" s="140"/>
      <c r="E731" s="140"/>
      <c r="F731" s="141"/>
      <c r="G731" s="142"/>
      <c r="H731" s="169"/>
      <c r="I731" s="143"/>
      <c r="J731" s="46"/>
      <c r="K731" s="46"/>
      <c r="L731" s="46"/>
      <c r="M731" s="46"/>
    </row>
    <row r="732" spans="1:13" s="97" customFormat="1" ht="18" customHeight="1">
      <c r="A732" s="146" t="s">
        <v>187</v>
      </c>
      <c r="B732" s="148"/>
      <c r="C732" s="148"/>
      <c r="D732" s="148"/>
      <c r="E732" s="148"/>
      <c r="F732" s="149"/>
      <c r="G732" s="166"/>
      <c r="H732" s="170"/>
      <c r="I732" s="152">
        <f>SUM(I730+I724+I714)</f>
        <v>2660845.29</v>
      </c>
      <c r="J732" s="152">
        <f>SUM(J730+J724+J714)</f>
        <v>1316610.98</v>
      </c>
      <c r="K732" s="152">
        <f>SUM(K730+K724+K714)</f>
        <v>1610005.23</v>
      </c>
      <c r="L732" s="152">
        <f>SUM(L730+L724+L714)</f>
        <v>2926616.21</v>
      </c>
      <c r="M732" s="152">
        <f>SUM(M730+M724+M714)</f>
        <v>3166260</v>
      </c>
    </row>
    <row r="733" spans="1:13" s="92" customFormat="1" ht="18" customHeight="1"/>
    <row r="734" spans="1:13" s="92" customFormat="1" ht="18" customHeight="1">
      <c r="A734" s="241" t="s">
        <v>490</v>
      </c>
      <c r="B734" s="241"/>
      <c r="C734" s="241"/>
      <c r="D734" s="241"/>
      <c r="E734" s="241"/>
      <c r="F734" s="241"/>
      <c r="G734" s="241"/>
      <c r="H734" s="241"/>
      <c r="I734" s="241"/>
      <c r="J734" s="241"/>
      <c r="K734" s="241"/>
      <c r="L734" s="241"/>
      <c r="M734" s="241"/>
    </row>
    <row r="735" spans="1:13" s="92" customFormat="1" ht="18" customHeight="1">
      <c r="A735" s="93"/>
      <c r="B735" s="94"/>
      <c r="C735" s="93"/>
      <c r="D735" s="93"/>
      <c r="E735" s="93"/>
      <c r="F735" s="95"/>
      <c r="G735" s="93"/>
      <c r="H735" s="96"/>
      <c r="I735" s="96"/>
      <c r="K735" s="61"/>
      <c r="L735" s="61"/>
      <c r="M735" s="55"/>
    </row>
    <row r="736" spans="1:13" s="92" customFormat="1" ht="18" customHeight="1">
      <c r="A736" s="242" t="s">
        <v>491</v>
      </c>
      <c r="B736" s="242"/>
      <c r="D736" s="242"/>
      <c r="E736" s="242"/>
      <c r="G736" s="242"/>
      <c r="H736" s="242"/>
      <c r="I736" s="242" t="s">
        <v>492</v>
      </c>
      <c r="J736" s="242"/>
      <c r="K736" s="242"/>
      <c r="L736" s="242" t="s">
        <v>493</v>
      </c>
      <c r="M736" s="242"/>
    </row>
    <row r="737" spans="1:13" s="92" customFormat="1" ht="18" customHeight="1">
      <c r="A737" s="93"/>
      <c r="B737" s="94"/>
      <c r="D737" s="93"/>
      <c r="E737" s="93"/>
      <c r="G737" s="93"/>
      <c r="I737" s="93"/>
      <c r="J737" s="96"/>
      <c r="K737" s="60"/>
      <c r="L737" s="95"/>
      <c r="M737" s="61"/>
    </row>
    <row r="738" spans="1:13" s="92" customFormat="1" ht="18" customHeight="1">
      <c r="A738" s="404" t="s">
        <v>505</v>
      </c>
      <c r="B738" s="404"/>
      <c r="C738" s="404"/>
      <c r="D738" s="404"/>
      <c r="E738" s="404"/>
      <c r="F738" s="404"/>
      <c r="G738" s="94"/>
      <c r="H738" s="243"/>
      <c r="I738" s="404" t="s">
        <v>494</v>
      </c>
      <c r="J738" s="404"/>
      <c r="K738" s="58"/>
      <c r="L738" s="404" t="s">
        <v>328</v>
      </c>
      <c r="M738" s="404"/>
    </row>
    <row r="739" spans="1:13" s="92" customFormat="1" ht="18" customHeight="1">
      <c r="A739" s="405" t="s">
        <v>495</v>
      </c>
      <c r="B739" s="405"/>
      <c r="C739" s="405"/>
      <c r="D739" s="405"/>
      <c r="E739" s="405"/>
      <c r="F739" s="405"/>
      <c r="G739" s="15"/>
      <c r="H739" s="15"/>
      <c r="I739" s="406" t="s">
        <v>496</v>
      </c>
      <c r="J739" s="406"/>
      <c r="K739" s="15"/>
      <c r="L739" s="405" t="s">
        <v>497</v>
      </c>
      <c r="M739" s="405"/>
    </row>
    <row r="740" spans="1:13" s="92" customFormat="1" ht="18" customHeight="1"/>
    <row r="741" spans="1:13" s="92" customFormat="1" ht="18" customHeight="1"/>
    <row r="742" spans="1:13" s="92" customFormat="1" ht="18" customHeight="1"/>
    <row r="743" spans="1:13" s="92" customFormat="1" ht="18" customHeight="1"/>
    <row r="744" spans="1:13" s="92" customFormat="1" ht="18" customHeight="1"/>
    <row r="745" spans="1:13" s="92" customFormat="1" ht="18" customHeight="1"/>
    <row r="746" spans="1:13" s="92" customFormat="1" ht="18" customHeight="1"/>
    <row r="747" spans="1:13" s="92" customFormat="1" ht="18" customHeight="1"/>
    <row r="748" spans="1:13" s="92" customFormat="1" ht="18" customHeight="1"/>
    <row r="749" spans="1:13" s="81" customFormat="1" ht="15" customHeight="1">
      <c r="A749" s="399" t="s">
        <v>481</v>
      </c>
      <c r="B749" s="399"/>
      <c r="C749" s="399"/>
      <c r="D749" s="399"/>
      <c r="E749" s="399"/>
      <c r="F749" s="399"/>
      <c r="G749" s="399"/>
      <c r="H749" s="399"/>
      <c r="I749" s="399"/>
      <c r="J749" s="399"/>
      <c r="K749" s="399"/>
      <c r="L749" s="399"/>
      <c r="M749" s="399"/>
    </row>
    <row r="750" spans="1:13" s="81" customFormat="1" ht="15" customHeight="1">
      <c r="A750" s="126"/>
      <c r="B750" s="126"/>
      <c r="C750" s="126"/>
      <c r="D750" s="126"/>
      <c r="E750" s="126"/>
      <c r="F750" s="126"/>
      <c r="G750" s="126"/>
      <c r="H750" s="126"/>
      <c r="I750" s="126"/>
      <c r="J750" s="126"/>
      <c r="K750" s="126"/>
      <c r="L750" s="126"/>
      <c r="M750" s="126"/>
    </row>
    <row r="751" spans="1:13" s="81" customFormat="1" ht="15" customHeight="1">
      <c r="A751" s="238" t="s">
        <v>482</v>
      </c>
      <c r="B751" s="238"/>
      <c r="C751" s="238"/>
      <c r="D751" s="239"/>
      <c r="E751" s="239"/>
      <c r="F751" s="238" t="s">
        <v>483</v>
      </c>
      <c r="G751" s="238"/>
      <c r="H751" s="238"/>
      <c r="I751" s="238"/>
      <c r="J751" s="238" t="s">
        <v>484</v>
      </c>
      <c r="K751" s="238" t="str">
        <f>$K$9</f>
        <v>2025</v>
      </c>
      <c r="L751" s="238"/>
      <c r="M751" s="238"/>
    </row>
    <row r="752" spans="1:13" s="81" customFormat="1" ht="15" customHeight="1">
      <c r="A752" s="238" t="s">
        <v>485</v>
      </c>
      <c r="B752" s="238"/>
      <c r="C752" s="238"/>
      <c r="D752" s="239"/>
      <c r="E752" s="238"/>
      <c r="F752" s="238" t="s">
        <v>486</v>
      </c>
      <c r="G752" s="238"/>
      <c r="H752" s="238"/>
      <c r="I752" s="238"/>
      <c r="J752" s="238" t="s">
        <v>487</v>
      </c>
      <c r="K752" s="94" t="s">
        <v>515</v>
      </c>
      <c r="L752" s="238"/>
      <c r="M752" s="238"/>
    </row>
    <row r="753" spans="1:13" s="81" customFormat="1" ht="15" customHeight="1">
      <c r="A753" s="238" t="s">
        <v>489</v>
      </c>
      <c r="B753" s="238"/>
      <c r="C753" s="238"/>
      <c r="D753" s="238"/>
      <c r="E753" s="238"/>
      <c r="F753" s="238"/>
      <c r="G753" s="238"/>
      <c r="H753" s="238"/>
      <c r="I753" s="238"/>
      <c r="J753" s="238"/>
      <c r="K753" s="238" t="s">
        <v>516</v>
      </c>
      <c r="L753" s="238"/>
      <c r="M753" s="238"/>
    </row>
    <row r="754" spans="1:13" s="81" customFormat="1" ht="15" customHeight="1">
      <c r="A754" s="82"/>
      <c r="B754" s="82"/>
      <c r="C754" s="82"/>
      <c r="D754" s="82"/>
      <c r="E754" s="82"/>
      <c r="F754" s="82"/>
      <c r="G754" s="82"/>
      <c r="H754" s="82"/>
      <c r="I754" s="82"/>
      <c r="J754" s="82"/>
      <c r="K754" s="82"/>
      <c r="L754" s="82"/>
      <c r="M754" s="82"/>
    </row>
    <row r="755" spans="1:13" s="81" customFormat="1" ht="15" customHeight="1">
      <c r="A755" s="82"/>
      <c r="B755" s="82"/>
      <c r="C755" s="82"/>
      <c r="D755" s="82"/>
      <c r="E755" s="82"/>
      <c r="F755" s="82"/>
      <c r="G755" s="82"/>
      <c r="H755" s="82"/>
      <c r="I755" s="82"/>
      <c r="J755" s="82"/>
      <c r="K755" s="82"/>
      <c r="L755" s="82"/>
      <c r="M755" s="82"/>
    </row>
    <row r="756" spans="1:13" s="33" customFormat="1" ht="18" customHeight="1" thickBot="1">
      <c r="A756" s="400"/>
      <c r="B756" s="400"/>
      <c r="C756" s="400"/>
      <c r="D756" s="400"/>
      <c r="E756" s="400"/>
      <c r="F756" s="400"/>
      <c r="G756" s="400"/>
      <c r="H756" s="400"/>
      <c r="I756" s="400"/>
      <c r="J756" s="400"/>
      <c r="K756" s="400"/>
      <c r="L756" s="400"/>
      <c r="M756" s="400"/>
    </row>
    <row r="757" spans="1:13" ht="18" customHeight="1">
      <c r="A757" s="192"/>
      <c r="B757" s="193"/>
      <c r="C757" s="193"/>
      <c r="D757" s="193"/>
      <c r="E757" s="193"/>
      <c r="F757" s="194"/>
      <c r="G757" s="195"/>
      <c r="H757" s="196"/>
      <c r="I757" s="196" t="s">
        <v>3</v>
      </c>
      <c r="J757" s="394" t="s">
        <v>188</v>
      </c>
      <c r="K757" s="395"/>
      <c r="L757" s="396"/>
      <c r="M757" s="197" t="s">
        <v>4</v>
      </c>
    </row>
    <row r="758" spans="1:13" ht="18" customHeight="1">
      <c r="A758" s="388"/>
      <c r="B758" s="389"/>
      <c r="C758" s="389"/>
      <c r="D758" s="389"/>
      <c r="E758" s="389"/>
      <c r="F758" s="390"/>
      <c r="G758" s="199"/>
      <c r="H758" s="200"/>
      <c r="I758" s="200">
        <v>2023</v>
      </c>
      <c r="J758" s="200" t="s">
        <v>137</v>
      </c>
      <c r="K758" s="200" t="s">
        <v>138</v>
      </c>
      <c r="L758" s="200">
        <v>2024</v>
      </c>
      <c r="M758" s="201">
        <v>2025</v>
      </c>
    </row>
    <row r="759" spans="1:13" ht="18" customHeight="1">
      <c r="A759" s="388" t="s">
        <v>8</v>
      </c>
      <c r="B759" s="389"/>
      <c r="C759" s="389"/>
      <c r="D759" s="389"/>
      <c r="E759" s="389"/>
      <c r="F759" s="390"/>
      <c r="G759" s="202"/>
      <c r="H759" s="203" t="s">
        <v>186</v>
      </c>
      <c r="I759" s="200" t="s">
        <v>311</v>
      </c>
      <c r="J759" s="200" t="s">
        <v>136</v>
      </c>
      <c r="K759" s="200" t="s">
        <v>139</v>
      </c>
      <c r="L759" s="200" t="s">
        <v>311</v>
      </c>
      <c r="M759" s="201" t="s">
        <v>311</v>
      </c>
    </row>
    <row r="760" spans="1:13" ht="18" customHeight="1">
      <c r="A760" s="204"/>
      <c r="B760" s="99"/>
      <c r="C760" s="99"/>
      <c r="D760" s="99"/>
      <c r="E760" s="99"/>
      <c r="F760" s="205"/>
      <c r="G760" s="202"/>
      <c r="H760" s="200"/>
      <c r="I760" s="200" t="s">
        <v>136</v>
      </c>
      <c r="J760" s="200">
        <v>2024</v>
      </c>
      <c r="K760" s="200">
        <v>2024</v>
      </c>
      <c r="L760" s="200" t="s">
        <v>312</v>
      </c>
      <c r="M760" s="201" t="s">
        <v>140</v>
      </c>
    </row>
    <row r="761" spans="1:13" ht="18" customHeight="1" thickBot="1">
      <c r="A761" s="391"/>
      <c r="B761" s="392"/>
      <c r="C761" s="392"/>
      <c r="D761" s="392"/>
      <c r="E761" s="392"/>
      <c r="F761" s="393"/>
      <c r="G761" s="206"/>
      <c r="H761" s="207"/>
      <c r="I761" s="207"/>
      <c r="J761" s="207"/>
      <c r="K761" s="207"/>
      <c r="L761" s="207"/>
      <c r="M761" s="208"/>
    </row>
    <row r="762" spans="1:13" ht="18" customHeight="1">
      <c r="A762" s="209"/>
      <c r="B762" s="210" t="s">
        <v>51</v>
      </c>
      <c r="C762" s="211"/>
      <c r="D762" s="210"/>
      <c r="E762" s="210"/>
      <c r="F762" s="212"/>
      <c r="G762" s="213"/>
      <c r="H762" s="225"/>
      <c r="I762" s="226"/>
      <c r="J762" s="62"/>
      <c r="K762" s="62"/>
      <c r="L762" s="62"/>
      <c r="M762" s="62"/>
    </row>
    <row r="763" spans="1:13" s="97" customFormat="1" ht="18" customHeight="1">
      <c r="A763" s="133"/>
      <c r="B763" s="127"/>
      <c r="C763" s="127" t="s">
        <v>102</v>
      </c>
      <c r="D763" s="127"/>
      <c r="E763" s="127"/>
      <c r="F763" s="128"/>
      <c r="G763" s="129"/>
      <c r="H763" s="167"/>
      <c r="I763" s="168"/>
      <c r="J763" s="63"/>
      <c r="K763" s="63"/>
      <c r="L763" s="63"/>
      <c r="M763" s="63"/>
    </row>
    <row r="764" spans="1:13" s="97" customFormat="1" ht="18" customHeight="1">
      <c r="A764" s="133"/>
      <c r="B764" s="127"/>
      <c r="C764" s="127"/>
      <c r="D764" s="127" t="s">
        <v>103</v>
      </c>
      <c r="E764" s="127"/>
      <c r="F764" s="128"/>
      <c r="G764" s="129" t="s">
        <v>156</v>
      </c>
      <c r="H764" s="130" t="s">
        <v>196</v>
      </c>
      <c r="I764" s="135">
        <v>2726863.65</v>
      </c>
      <c r="J764" s="39">
        <v>1336220</v>
      </c>
      <c r="K764" s="39">
        <f>3122398-J764</f>
        <v>1786178</v>
      </c>
      <c r="L764" s="39">
        <f>SUM(K764+J764)</f>
        <v>3122398</v>
      </c>
      <c r="M764" s="39">
        <v>3454686</v>
      </c>
    </row>
    <row r="765" spans="1:13" s="97" customFormat="1" ht="18" customHeight="1">
      <c r="A765" s="133"/>
      <c r="B765" s="127"/>
      <c r="C765" s="127" t="s">
        <v>104</v>
      </c>
      <c r="D765" s="127"/>
      <c r="E765" s="127"/>
      <c r="F765" s="128"/>
      <c r="G765" s="129"/>
      <c r="H765" s="167"/>
      <c r="I765" s="135"/>
      <c r="J765" s="39"/>
      <c r="K765" s="39"/>
      <c r="L765" s="39"/>
      <c r="M765" s="39"/>
    </row>
    <row r="766" spans="1:13" s="97" customFormat="1" ht="18" customHeight="1">
      <c r="A766" s="133"/>
      <c r="B766" s="127"/>
      <c r="C766" s="127"/>
      <c r="D766" s="127" t="s">
        <v>105</v>
      </c>
      <c r="E766" s="127"/>
      <c r="F766" s="128"/>
      <c r="G766" s="129" t="s">
        <v>157</v>
      </c>
      <c r="H766" s="130" t="s">
        <v>197</v>
      </c>
      <c r="I766" s="135">
        <v>152000</v>
      </c>
      <c r="J766" s="39">
        <v>76000</v>
      </c>
      <c r="K766" s="39">
        <f>192000-J766</f>
        <v>116000</v>
      </c>
      <c r="L766" s="39">
        <f t="shared" ref="L766:L786" si="54">SUM(K766+J766)</f>
        <v>192000</v>
      </c>
      <c r="M766" s="39">
        <v>192000</v>
      </c>
    </row>
    <row r="767" spans="1:13" s="97" customFormat="1" ht="18" customHeight="1">
      <c r="A767" s="133"/>
      <c r="B767" s="127"/>
      <c r="C767" s="127"/>
      <c r="D767" s="127" t="s">
        <v>107</v>
      </c>
      <c r="E767" s="127"/>
      <c r="F767" s="128"/>
      <c r="G767" s="129" t="s">
        <v>158</v>
      </c>
      <c r="H767" s="130" t="s">
        <v>198</v>
      </c>
      <c r="I767" s="135">
        <v>76500</v>
      </c>
      <c r="J767" s="39">
        <v>43350</v>
      </c>
      <c r="K767" s="39">
        <f>86700-J767</f>
        <v>43350</v>
      </c>
      <c r="L767" s="39">
        <f t="shared" si="54"/>
        <v>86700</v>
      </c>
      <c r="M767" s="39">
        <v>86700</v>
      </c>
    </row>
    <row r="768" spans="1:13" s="97" customFormat="1" ht="18" customHeight="1">
      <c r="A768" s="133"/>
      <c r="B768" s="127"/>
      <c r="C768" s="127"/>
      <c r="D768" s="127" t="s">
        <v>106</v>
      </c>
      <c r="E768" s="127"/>
      <c r="F768" s="128"/>
      <c r="G768" s="129" t="s">
        <v>159</v>
      </c>
      <c r="H768" s="130" t="s">
        <v>199</v>
      </c>
      <c r="I768" s="135">
        <v>76500</v>
      </c>
      <c r="J768" s="39">
        <v>43350</v>
      </c>
      <c r="K768" s="39">
        <f>86700-J768</f>
        <v>43350</v>
      </c>
      <c r="L768" s="39">
        <f t="shared" si="54"/>
        <v>86700</v>
      </c>
      <c r="M768" s="39">
        <v>86700</v>
      </c>
    </row>
    <row r="769" spans="1:13" s="97" customFormat="1" ht="18" customHeight="1">
      <c r="A769" s="133"/>
      <c r="B769" s="127"/>
      <c r="C769" s="127"/>
      <c r="D769" s="127" t="s">
        <v>108</v>
      </c>
      <c r="E769" s="127"/>
      <c r="F769" s="128"/>
      <c r="G769" s="129" t="s">
        <v>160</v>
      </c>
      <c r="H769" s="130" t="s">
        <v>200</v>
      </c>
      <c r="I769" s="135">
        <v>36000</v>
      </c>
      <c r="J769" s="39">
        <v>48000</v>
      </c>
      <c r="K769" s="39">
        <f>56000-J769</f>
        <v>8000</v>
      </c>
      <c r="L769" s="39">
        <f t="shared" si="54"/>
        <v>56000</v>
      </c>
      <c r="M769" s="39">
        <v>56000</v>
      </c>
    </row>
    <row r="770" spans="1:13" s="97" customFormat="1" ht="18" customHeight="1">
      <c r="A770" s="133"/>
      <c r="B770" s="127"/>
      <c r="C770" s="127"/>
      <c r="D770" s="127" t="s">
        <v>344</v>
      </c>
      <c r="E770" s="127"/>
      <c r="F770" s="128"/>
      <c r="G770" s="129" t="s">
        <v>161</v>
      </c>
      <c r="H770" s="130" t="s">
        <v>217</v>
      </c>
      <c r="I770" s="135">
        <v>51350</v>
      </c>
      <c r="J770" s="39">
        <v>19525</v>
      </c>
      <c r="K770" s="39">
        <f>108000-J770</f>
        <v>88475</v>
      </c>
      <c r="L770" s="39">
        <f t="shared" si="54"/>
        <v>108000</v>
      </c>
      <c r="M770" s="39">
        <v>108000</v>
      </c>
    </row>
    <row r="771" spans="1:13" s="97" customFormat="1" ht="18" customHeight="1">
      <c r="A771" s="133"/>
      <c r="B771" s="127"/>
      <c r="C771" s="127"/>
      <c r="D771" s="127" t="s">
        <v>194</v>
      </c>
      <c r="E771" s="127"/>
      <c r="F771" s="128"/>
      <c r="G771" s="129" t="s">
        <v>162</v>
      </c>
      <c r="H771" s="130" t="s">
        <v>201</v>
      </c>
      <c r="I771" s="135">
        <v>35000</v>
      </c>
      <c r="J771" s="39"/>
      <c r="K771" s="39">
        <f>40000-J771</f>
        <v>40000</v>
      </c>
      <c r="L771" s="39">
        <f t="shared" si="54"/>
        <v>40000</v>
      </c>
      <c r="M771" s="39">
        <v>40000</v>
      </c>
    </row>
    <row r="772" spans="1:13" s="97" customFormat="1" ht="18" customHeight="1">
      <c r="A772" s="133"/>
      <c r="B772" s="127"/>
      <c r="C772" s="127"/>
      <c r="D772" s="127" t="s">
        <v>110</v>
      </c>
      <c r="E772" s="127"/>
      <c r="F772" s="128"/>
      <c r="G772" s="129" t="s">
        <v>92</v>
      </c>
      <c r="H772" s="130" t="s">
        <v>202</v>
      </c>
      <c r="I772" s="135"/>
      <c r="J772" s="39"/>
      <c r="K772" s="39">
        <f>5000-J772</f>
        <v>5000</v>
      </c>
      <c r="L772" s="39">
        <f t="shared" si="54"/>
        <v>5000</v>
      </c>
      <c r="M772" s="39">
        <v>0</v>
      </c>
    </row>
    <row r="773" spans="1:13" s="97" customFormat="1" ht="18" customHeight="1">
      <c r="A773" s="133"/>
      <c r="B773" s="127"/>
      <c r="C773" s="127"/>
      <c r="D773" s="127" t="s">
        <v>354</v>
      </c>
      <c r="E773" s="127"/>
      <c r="F773" s="128"/>
      <c r="G773" s="129" t="s">
        <v>92</v>
      </c>
      <c r="H773" s="130" t="s">
        <v>202</v>
      </c>
      <c r="I773" s="135"/>
      <c r="J773" s="39"/>
      <c r="K773" s="39">
        <f>0-J773</f>
        <v>0</v>
      </c>
      <c r="L773" s="39">
        <f t="shared" si="54"/>
        <v>0</v>
      </c>
      <c r="M773" s="39"/>
    </row>
    <row r="774" spans="1:13" s="97" customFormat="1" ht="18" customHeight="1">
      <c r="A774" s="133"/>
      <c r="B774" s="127"/>
      <c r="C774" s="127"/>
      <c r="D774" s="127" t="s">
        <v>421</v>
      </c>
      <c r="E774" s="127"/>
      <c r="F774" s="128"/>
      <c r="G774" s="129"/>
      <c r="H774" s="130" t="s">
        <v>202</v>
      </c>
      <c r="I774" s="135"/>
      <c r="J774" s="39"/>
      <c r="K774" s="39">
        <f>0-J774</f>
        <v>0</v>
      </c>
      <c r="L774" s="39">
        <f t="shared" si="54"/>
        <v>0</v>
      </c>
      <c r="M774" s="39">
        <v>56000</v>
      </c>
    </row>
    <row r="775" spans="1:13" s="97" customFormat="1" ht="18" customHeight="1">
      <c r="A775" s="133"/>
      <c r="B775" s="127"/>
      <c r="C775" s="127"/>
      <c r="D775" s="127" t="s">
        <v>111</v>
      </c>
      <c r="E775" s="127"/>
      <c r="F775" s="128"/>
      <c r="G775" s="129" t="s">
        <v>163</v>
      </c>
      <c r="H775" s="130" t="s">
        <v>218</v>
      </c>
      <c r="I775" s="135">
        <v>149316</v>
      </c>
      <c r="J775" s="39">
        <v>56842.6</v>
      </c>
      <c r="K775" s="39">
        <f>167080.8-J775</f>
        <v>110238.19999999998</v>
      </c>
      <c r="L775" s="39">
        <f t="shared" si="54"/>
        <v>167080.79999999999</v>
      </c>
      <c r="M775" s="39">
        <v>167080.79999999999</v>
      </c>
    </row>
    <row r="776" spans="1:13" s="97" customFormat="1" ht="18" customHeight="1">
      <c r="A776" s="133"/>
      <c r="B776" s="127"/>
      <c r="C776" s="127"/>
      <c r="D776" s="127" t="s">
        <v>112</v>
      </c>
      <c r="E776" s="127"/>
      <c r="F776" s="128"/>
      <c r="G776" s="129" t="s">
        <v>165</v>
      </c>
      <c r="H776" s="130" t="s">
        <v>203</v>
      </c>
      <c r="I776" s="135">
        <v>35000</v>
      </c>
      <c r="J776" s="39"/>
      <c r="K776" s="39">
        <f>40000-J776</f>
        <v>40000</v>
      </c>
      <c r="L776" s="39">
        <f t="shared" si="54"/>
        <v>40000</v>
      </c>
      <c r="M776" s="39">
        <v>40000</v>
      </c>
    </row>
    <row r="777" spans="1:13" s="97" customFormat="1" ht="18" customHeight="1">
      <c r="A777" s="133"/>
      <c r="B777" s="127"/>
      <c r="C777" s="127"/>
      <c r="D777" s="127" t="s">
        <v>252</v>
      </c>
      <c r="E777" s="127"/>
      <c r="F777" s="127"/>
      <c r="G777" s="138" t="s">
        <v>92</v>
      </c>
      <c r="H777" s="130" t="s">
        <v>202</v>
      </c>
      <c r="I777" s="135">
        <v>215214</v>
      </c>
      <c r="J777" s="39">
        <v>214973</v>
      </c>
      <c r="K777" s="39">
        <f>254946-J777</f>
        <v>39973</v>
      </c>
      <c r="L777" s="39">
        <f t="shared" si="54"/>
        <v>254946</v>
      </c>
      <c r="M777" s="39">
        <v>283667</v>
      </c>
    </row>
    <row r="778" spans="1:13" s="97" customFormat="1" ht="18" customHeight="1">
      <c r="A778" s="133"/>
      <c r="B778" s="127"/>
      <c r="C778" s="127"/>
      <c r="D778" s="127" t="s">
        <v>113</v>
      </c>
      <c r="E778" s="127"/>
      <c r="F778" s="128"/>
      <c r="G778" s="129" t="s">
        <v>166</v>
      </c>
      <c r="H778" s="130" t="s">
        <v>204</v>
      </c>
      <c r="I778" s="135">
        <v>238164</v>
      </c>
      <c r="J778" s="39"/>
      <c r="K778" s="39">
        <f>267506-J778</f>
        <v>267506</v>
      </c>
      <c r="L778" s="39">
        <f t="shared" si="54"/>
        <v>267506</v>
      </c>
      <c r="M778" s="39">
        <v>296679</v>
      </c>
    </row>
    <row r="779" spans="1:13" s="97" customFormat="1" ht="18" customHeight="1">
      <c r="A779" s="133"/>
      <c r="B779" s="127"/>
      <c r="C779" s="127"/>
      <c r="D779" s="127" t="s">
        <v>190</v>
      </c>
      <c r="E779" s="127"/>
      <c r="F779" s="128"/>
      <c r="G779" s="129" t="s">
        <v>167</v>
      </c>
      <c r="H779" s="130" t="s">
        <v>205</v>
      </c>
      <c r="I779" s="135">
        <f>319596.72+6835.44</f>
        <v>326432.15999999997</v>
      </c>
      <c r="J779" s="39">
        <v>134549.64000000001</v>
      </c>
      <c r="K779" s="39">
        <f>375500-J779</f>
        <v>240950.36</v>
      </c>
      <c r="L779" s="39">
        <f t="shared" si="54"/>
        <v>375500</v>
      </c>
      <c r="M779" s="39">
        <v>415000</v>
      </c>
    </row>
    <row r="780" spans="1:13" s="97" customFormat="1" ht="18" customHeight="1">
      <c r="A780" s="133"/>
      <c r="B780" s="127"/>
      <c r="C780" s="127"/>
      <c r="D780" s="127" t="s">
        <v>114</v>
      </c>
      <c r="E780" s="127"/>
      <c r="F780" s="128"/>
      <c r="G780" s="129" t="s">
        <v>168</v>
      </c>
      <c r="H780" s="130" t="s">
        <v>206</v>
      </c>
      <c r="I780" s="135">
        <f>7000+700</f>
        <v>7700</v>
      </c>
      <c r="J780" s="39">
        <v>5700</v>
      </c>
      <c r="K780" s="39">
        <f>19200-J780</f>
        <v>13500</v>
      </c>
      <c r="L780" s="39">
        <f t="shared" si="54"/>
        <v>19200</v>
      </c>
      <c r="M780" s="39">
        <v>19200</v>
      </c>
    </row>
    <row r="781" spans="1:13" s="97" customFormat="1" ht="18" customHeight="1">
      <c r="A781" s="133"/>
      <c r="B781" s="127"/>
      <c r="C781" s="127"/>
      <c r="D781" s="127" t="s">
        <v>115</v>
      </c>
      <c r="E781" s="127"/>
      <c r="F781" s="128"/>
      <c r="G781" s="129" t="s">
        <v>169</v>
      </c>
      <c r="H781" s="130" t="s">
        <v>207</v>
      </c>
      <c r="I781" s="135">
        <v>52893</v>
      </c>
      <c r="J781" s="39">
        <v>28031.19</v>
      </c>
      <c r="K781" s="39">
        <f>79000-J781</f>
        <v>50968.81</v>
      </c>
      <c r="L781" s="39">
        <f t="shared" si="54"/>
        <v>79000</v>
      </c>
      <c r="M781" s="39">
        <v>87000</v>
      </c>
    </row>
    <row r="782" spans="1:13" s="97" customFormat="1" ht="18" customHeight="1">
      <c r="A782" s="133"/>
      <c r="B782" s="127"/>
      <c r="C782" s="127"/>
      <c r="D782" s="127" t="s">
        <v>189</v>
      </c>
      <c r="E782" s="127"/>
      <c r="F782" s="128"/>
      <c r="G782" s="129" t="s">
        <v>170</v>
      </c>
      <c r="H782" s="130" t="s">
        <v>208</v>
      </c>
      <c r="I782" s="135">
        <v>7800</v>
      </c>
      <c r="J782" s="39">
        <v>3200</v>
      </c>
      <c r="K782" s="39">
        <f>9600-J782</f>
        <v>6400</v>
      </c>
      <c r="L782" s="39">
        <f t="shared" si="54"/>
        <v>9600</v>
      </c>
      <c r="M782" s="39">
        <v>9600</v>
      </c>
    </row>
    <row r="783" spans="1:13" s="97" customFormat="1" ht="18" customHeight="1">
      <c r="A783" s="133"/>
      <c r="B783" s="127"/>
      <c r="C783" s="127"/>
      <c r="D783" s="127" t="s">
        <v>117</v>
      </c>
      <c r="E783" s="127"/>
      <c r="F783" s="128"/>
      <c r="G783" s="129" t="s">
        <v>67</v>
      </c>
      <c r="H783" s="130" t="s">
        <v>220</v>
      </c>
      <c r="I783" s="135"/>
      <c r="J783" s="39"/>
      <c r="K783" s="39">
        <f>0-J783</f>
        <v>0</v>
      </c>
      <c r="L783" s="39">
        <f t="shared" si="54"/>
        <v>0</v>
      </c>
      <c r="M783" s="39">
        <v>0</v>
      </c>
    </row>
    <row r="784" spans="1:13" s="97" customFormat="1" ht="18" customHeight="1">
      <c r="A784" s="133"/>
      <c r="B784" s="127"/>
      <c r="C784" s="127"/>
      <c r="D784" s="127" t="s">
        <v>54</v>
      </c>
      <c r="E784" s="127"/>
      <c r="F784" s="128"/>
      <c r="G784" s="129" t="s">
        <v>171</v>
      </c>
      <c r="H784" s="130" t="s">
        <v>209</v>
      </c>
      <c r="I784" s="135"/>
      <c r="J784" s="39"/>
      <c r="K784" s="39">
        <f>0-J784</f>
        <v>0</v>
      </c>
      <c r="L784" s="39">
        <f t="shared" si="54"/>
        <v>0</v>
      </c>
      <c r="M784" s="39">
        <v>100000</v>
      </c>
    </row>
    <row r="785" spans="1:13" ht="18" customHeight="1">
      <c r="A785" s="133"/>
      <c r="B785" s="127"/>
      <c r="C785" s="127"/>
      <c r="D785" s="127" t="s">
        <v>343</v>
      </c>
      <c r="E785" s="127"/>
      <c r="F785" s="128"/>
      <c r="G785" s="129"/>
      <c r="H785" s="130" t="s">
        <v>220</v>
      </c>
      <c r="I785" s="135">
        <v>140000</v>
      </c>
      <c r="J785" s="39"/>
      <c r="K785" s="39">
        <f>144000-J785</f>
        <v>144000</v>
      </c>
      <c r="L785" s="39">
        <f t="shared" si="54"/>
        <v>144000</v>
      </c>
      <c r="M785" s="39"/>
    </row>
    <row r="786" spans="1:13" ht="18" customHeight="1">
      <c r="A786" s="133"/>
      <c r="B786" s="127"/>
      <c r="C786" s="127"/>
      <c r="D786" s="191" t="s">
        <v>423</v>
      </c>
      <c r="E786" s="127"/>
      <c r="F786" s="128"/>
      <c r="G786" s="129"/>
      <c r="H786" s="130" t="s">
        <v>220</v>
      </c>
      <c r="I786" s="135">
        <v>210000</v>
      </c>
      <c r="J786" s="39"/>
      <c r="K786" s="39">
        <f>227500-J786</f>
        <v>227500</v>
      </c>
      <c r="L786" s="39">
        <f t="shared" si="54"/>
        <v>227500</v>
      </c>
      <c r="M786" s="39"/>
    </row>
    <row r="787" spans="1:13" s="97" customFormat="1" ht="18" customHeight="1">
      <c r="A787" s="139"/>
      <c r="B787" s="140"/>
      <c r="C787" s="140"/>
      <c r="D787" s="140" t="s">
        <v>53</v>
      </c>
      <c r="E787" s="140"/>
      <c r="F787" s="141"/>
      <c r="G787" s="142"/>
      <c r="H787" s="169"/>
      <c r="I787" s="143">
        <f>SUM(I764:I786)</f>
        <v>4536732.8100000005</v>
      </c>
      <c r="J787" s="143">
        <f t="shared" ref="J787:K787" si="55">SUM(J764:J786)</f>
        <v>2009741.4300000002</v>
      </c>
      <c r="K787" s="143">
        <f t="shared" si="55"/>
        <v>3271389.37</v>
      </c>
      <c r="L787" s="143">
        <f>SUM(L764:L786)</f>
        <v>5281130.8</v>
      </c>
      <c r="M787" s="143">
        <f>SUM(M764:M786)</f>
        <v>5498312.7999999998</v>
      </c>
    </row>
    <row r="788" spans="1:13" s="97" customFormat="1" ht="18" customHeight="1">
      <c r="A788" s="133"/>
      <c r="B788" s="127" t="s">
        <v>118</v>
      </c>
      <c r="C788" s="127"/>
      <c r="D788" s="127"/>
      <c r="E788" s="127"/>
      <c r="F788" s="128"/>
      <c r="G788" s="129"/>
      <c r="H788" s="167"/>
      <c r="I788" s="135"/>
      <c r="J788" s="39"/>
      <c r="K788" s="39"/>
      <c r="L788" s="39"/>
      <c r="M788" s="39"/>
    </row>
    <row r="789" spans="1:13" s="97" customFormat="1" ht="18" customHeight="1">
      <c r="A789" s="133"/>
      <c r="B789" s="127"/>
      <c r="C789" s="127"/>
      <c r="D789" s="127" t="s">
        <v>119</v>
      </c>
      <c r="E789" s="127"/>
      <c r="F789" s="128"/>
      <c r="G789" s="129" t="s">
        <v>60</v>
      </c>
      <c r="H789" s="130" t="s">
        <v>210</v>
      </c>
      <c r="I789" s="135">
        <v>107538</v>
      </c>
      <c r="J789" s="39">
        <v>60603</v>
      </c>
      <c r="K789" s="39">
        <f>150000-J789</f>
        <v>89397</v>
      </c>
      <c r="L789" s="39">
        <f t="shared" ref="L789:L799" si="56">SUM(K789+J789)</f>
        <v>150000</v>
      </c>
      <c r="M789" s="39">
        <v>150000</v>
      </c>
    </row>
    <row r="790" spans="1:13" s="97" customFormat="1" ht="18" customHeight="1">
      <c r="A790" s="133"/>
      <c r="B790" s="127"/>
      <c r="C790" s="127"/>
      <c r="D790" s="127" t="s">
        <v>91</v>
      </c>
      <c r="E790" s="127"/>
      <c r="F790" s="128"/>
      <c r="G790" s="129" t="s">
        <v>61</v>
      </c>
      <c r="H790" s="130" t="s">
        <v>211</v>
      </c>
      <c r="I790" s="135">
        <v>106834</v>
      </c>
      <c r="J790" s="39">
        <v>19500</v>
      </c>
      <c r="K790" s="39">
        <f>200000-J790</f>
        <v>180500</v>
      </c>
      <c r="L790" s="39">
        <f t="shared" si="56"/>
        <v>200000</v>
      </c>
      <c r="M790" s="39">
        <v>200000</v>
      </c>
    </row>
    <row r="791" spans="1:13" s="97" customFormat="1" ht="18" customHeight="1">
      <c r="A791" s="133"/>
      <c r="B791" s="127"/>
      <c r="C791" s="127"/>
      <c r="D791" s="127" t="s">
        <v>58</v>
      </c>
      <c r="E791" s="127"/>
      <c r="F791" s="128"/>
      <c r="G791" s="129" t="s">
        <v>63</v>
      </c>
      <c r="H791" s="130" t="s">
        <v>212</v>
      </c>
      <c r="I791" s="135">
        <v>100190</v>
      </c>
      <c r="J791" s="39">
        <v>24545.8</v>
      </c>
      <c r="K791" s="39">
        <f>256010-J791</f>
        <v>231464.2</v>
      </c>
      <c r="L791" s="39">
        <f t="shared" si="56"/>
        <v>256010</v>
      </c>
      <c r="M791" s="39">
        <v>300000</v>
      </c>
    </row>
    <row r="792" spans="1:13" s="97" customFormat="1" ht="18" customHeight="1">
      <c r="A792" s="133"/>
      <c r="B792" s="127"/>
      <c r="C792" s="127"/>
      <c r="D792" s="127" t="s">
        <v>123</v>
      </c>
      <c r="E792" s="127"/>
      <c r="F792" s="128"/>
      <c r="G792" s="129" t="s">
        <v>175</v>
      </c>
      <c r="H792" s="130" t="s">
        <v>213</v>
      </c>
      <c r="I792" s="135"/>
      <c r="J792" s="39"/>
      <c r="K792" s="39">
        <f>0-J792</f>
        <v>0</v>
      </c>
      <c r="L792" s="39">
        <f t="shared" si="56"/>
        <v>0</v>
      </c>
      <c r="M792" s="39">
        <v>1000</v>
      </c>
    </row>
    <row r="793" spans="1:13" s="97" customFormat="1" ht="18" customHeight="1">
      <c r="A793" s="133"/>
      <c r="B793" s="127"/>
      <c r="C793" s="127"/>
      <c r="D793" s="127" t="s">
        <v>125</v>
      </c>
      <c r="E793" s="127"/>
      <c r="F793" s="128"/>
      <c r="G793" s="129" t="s">
        <v>64</v>
      </c>
      <c r="H793" s="130" t="s">
        <v>214</v>
      </c>
      <c r="I793" s="135">
        <v>33000</v>
      </c>
      <c r="J793" s="39">
        <v>18000</v>
      </c>
      <c r="K793" s="39">
        <f>36000-J793</f>
        <v>18000</v>
      </c>
      <c r="L793" s="39">
        <f t="shared" si="56"/>
        <v>36000</v>
      </c>
      <c r="M793" s="39">
        <v>24000</v>
      </c>
    </row>
    <row r="794" spans="1:13" s="97" customFormat="1" ht="18" customHeight="1">
      <c r="A794" s="133"/>
      <c r="B794" s="127"/>
      <c r="C794" s="127"/>
      <c r="D794" s="127" t="s">
        <v>304</v>
      </c>
      <c r="E794" s="127"/>
      <c r="F794" s="128"/>
      <c r="G794" s="129" t="s">
        <v>65</v>
      </c>
      <c r="H794" s="130" t="s">
        <v>215</v>
      </c>
      <c r="I794" s="135">
        <v>14000</v>
      </c>
      <c r="J794" s="39"/>
      <c r="K794" s="39">
        <f>15580-J794</f>
        <v>15580</v>
      </c>
      <c r="L794" s="39">
        <f t="shared" si="56"/>
        <v>15580</v>
      </c>
      <c r="M794" s="39">
        <v>20000</v>
      </c>
    </row>
    <row r="795" spans="1:13" s="97" customFormat="1" ht="26.25" customHeight="1">
      <c r="A795" s="133"/>
      <c r="B795" s="127"/>
      <c r="C795" s="127"/>
      <c r="D795" s="380" t="s">
        <v>468</v>
      </c>
      <c r="E795" s="380"/>
      <c r="F795" s="381"/>
      <c r="G795" s="129" t="s">
        <v>180</v>
      </c>
      <c r="H795" s="130" t="s">
        <v>228</v>
      </c>
      <c r="I795" s="135">
        <f>1812813+2140</f>
        <v>1814953</v>
      </c>
      <c r="J795" s="39">
        <v>395459.5</v>
      </c>
      <c r="K795" s="39">
        <f>2018000-J795</f>
        <v>1622540.5</v>
      </c>
      <c r="L795" s="39">
        <f t="shared" si="56"/>
        <v>2018000</v>
      </c>
      <c r="M795" s="39">
        <v>2018000</v>
      </c>
    </row>
    <row r="796" spans="1:13" s="97" customFormat="1" ht="30" customHeight="1">
      <c r="A796" s="133"/>
      <c r="B796" s="127"/>
      <c r="C796" s="127"/>
      <c r="D796" s="380" t="s">
        <v>469</v>
      </c>
      <c r="E796" s="380"/>
      <c r="F796" s="381"/>
      <c r="G796" s="129"/>
      <c r="H796" s="130" t="s">
        <v>228</v>
      </c>
      <c r="I796" s="135"/>
      <c r="J796" s="39"/>
      <c r="K796" s="39"/>
      <c r="L796" s="39"/>
      <c r="M796" s="39">
        <v>800000</v>
      </c>
    </row>
    <row r="797" spans="1:13" ht="18" customHeight="1">
      <c r="A797" s="133"/>
      <c r="B797" s="127"/>
      <c r="C797" s="127"/>
      <c r="D797" s="127" t="s">
        <v>365</v>
      </c>
      <c r="E797" s="127"/>
      <c r="F797" s="128"/>
      <c r="G797" s="129"/>
      <c r="H797" s="130"/>
      <c r="I797" s="135">
        <f>2527470.05+334060</f>
        <v>2861530.05</v>
      </c>
      <c r="J797" s="39">
        <v>1213125</v>
      </c>
      <c r="K797" s="39">
        <f>4000000-J797</f>
        <v>2786875</v>
      </c>
      <c r="L797" s="39">
        <f t="shared" si="56"/>
        <v>4000000</v>
      </c>
      <c r="M797" s="39">
        <v>4000000</v>
      </c>
    </row>
    <row r="798" spans="1:13" s="97" customFormat="1" ht="18" customHeight="1">
      <c r="A798" s="133"/>
      <c r="B798" s="127"/>
      <c r="C798" s="127"/>
      <c r="D798" s="127" t="s">
        <v>131</v>
      </c>
      <c r="E798" s="127"/>
      <c r="F798" s="128"/>
      <c r="G798" s="129" t="s">
        <v>66</v>
      </c>
      <c r="H798" s="130" t="s">
        <v>216</v>
      </c>
      <c r="I798" s="135">
        <v>24782</v>
      </c>
      <c r="J798" s="39">
        <v>1920</v>
      </c>
      <c r="K798" s="39">
        <f>150000-J798</f>
        <v>148080</v>
      </c>
      <c r="L798" s="39">
        <f t="shared" si="56"/>
        <v>150000</v>
      </c>
      <c r="M798" s="39">
        <v>100000</v>
      </c>
    </row>
    <row r="799" spans="1:13" s="97" customFormat="1" ht="18" customHeight="1">
      <c r="A799" s="133"/>
      <c r="B799" s="127"/>
      <c r="C799" s="127"/>
      <c r="D799" s="127" t="s">
        <v>366</v>
      </c>
      <c r="E799" s="127"/>
      <c r="F799" s="128"/>
      <c r="G799" s="129"/>
      <c r="H799" s="130" t="s">
        <v>216</v>
      </c>
      <c r="I799" s="135"/>
      <c r="J799" s="39">
        <v>0</v>
      </c>
      <c r="K799" s="39">
        <f>0-J799</f>
        <v>0</v>
      </c>
      <c r="L799" s="39">
        <f t="shared" si="56"/>
        <v>0</v>
      </c>
      <c r="M799" s="39">
        <v>0</v>
      </c>
    </row>
    <row r="800" spans="1:13" s="97" customFormat="1" ht="18" customHeight="1">
      <c r="A800" s="139"/>
      <c r="B800" s="140"/>
      <c r="C800" s="140"/>
      <c r="D800" s="140" t="s">
        <v>244</v>
      </c>
      <c r="E800" s="140"/>
      <c r="F800" s="141"/>
      <c r="G800" s="142"/>
      <c r="H800" s="169"/>
      <c r="I800" s="143">
        <f>SUM(I789:I799)</f>
        <v>5062827.05</v>
      </c>
      <c r="J800" s="143">
        <f>SUM(J789:J799)</f>
        <v>1733153.3</v>
      </c>
      <c r="K800" s="143">
        <f>SUM(K789:K799)</f>
        <v>5092436.7</v>
      </c>
      <c r="L800" s="143">
        <f>SUM(L789:L799)</f>
        <v>6825590</v>
      </c>
      <c r="M800" s="143">
        <f>SUM(M789:M799)</f>
        <v>7613000</v>
      </c>
    </row>
    <row r="801" spans="1:13" s="97" customFormat="1" ht="18" customHeight="1">
      <c r="A801" s="133"/>
      <c r="B801" s="127" t="s">
        <v>132</v>
      </c>
      <c r="C801" s="127"/>
      <c r="D801" s="127"/>
      <c r="E801" s="127"/>
      <c r="F801" s="128"/>
      <c r="G801" s="129"/>
      <c r="H801" s="167"/>
      <c r="I801" s="135"/>
      <c r="J801" s="39"/>
      <c r="K801" s="39"/>
      <c r="L801" s="39"/>
      <c r="M801" s="39"/>
    </row>
    <row r="802" spans="1:13" s="97" customFormat="1" ht="18" customHeight="1">
      <c r="A802" s="133"/>
      <c r="B802" s="127"/>
      <c r="C802" s="127"/>
      <c r="D802" s="127" t="s">
        <v>358</v>
      </c>
      <c r="E802" s="127"/>
      <c r="F802" s="128"/>
      <c r="G802" s="129" t="s">
        <v>285</v>
      </c>
      <c r="H802" s="130" t="s">
        <v>286</v>
      </c>
      <c r="I802" s="135">
        <v>65004.5</v>
      </c>
      <c r="J802" s="39">
        <v>0</v>
      </c>
      <c r="K802" s="39">
        <f>160000-J802</f>
        <v>160000</v>
      </c>
      <c r="L802" s="39">
        <f>J802+K802</f>
        <v>160000</v>
      </c>
      <c r="M802" s="39">
        <v>0</v>
      </c>
    </row>
    <row r="803" spans="1:13" s="97" customFormat="1" ht="18" customHeight="1">
      <c r="A803" s="133"/>
      <c r="B803" s="127"/>
      <c r="C803" s="127"/>
      <c r="D803" s="127" t="s">
        <v>284</v>
      </c>
      <c r="E803" s="127"/>
      <c r="F803" s="128"/>
      <c r="G803" s="129" t="s">
        <v>287</v>
      </c>
      <c r="H803" s="130" t="s">
        <v>348</v>
      </c>
      <c r="I803" s="135">
        <v>0</v>
      </c>
      <c r="J803" s="39">
        <v>0</v>
      </c>
      <c r="K803" s="39">
        <f t="shared" ref="K803:K806" si="57">0-J803</f>
        <v>0</v>
      </c>
      <c r="L803" s="39">
        <f>J803+K803</f>
        <v>0</v>
      </c>
      <c r="M803" s="39">
        <v>0</v>
      </c>
    </row>
    <row r="804" spans="1:13" s="97" customFormat="1" ht="18" customHeight="1">
      <c r="A804" s="133"/>
      <c r="B804" s="127"/>
      <c r="C804" s="127"/>
      <c r="D804" s="127" t="s">
        <v>332</v>
      </c>
      <c r="E804" s="127"/>
      <c r="F804" s="128"/>
      <c r="G804" s="129"/>
      <c r="H804" s="130" t="s">
        <v>315</v>
      </c>
      <c r="I804" s="135">
        <v>0</v>
      </c>
      <c r="J804" s="39">
        <v>0</v>
      </c>
      <c r="K804" s="39">
        <f t="shared" si="57"/>
        <v>0</v>
      </c>
      <c r="L804" s="39">
        <f>J804+K804</f>
        <v>0</v>
      </c>
      <c r="M804" s="39">
        <v>300000</v>
      </c>
    </row>
    <row r="805" spans="1:13" s="97" customFormat="1" ht="18" customHeight="1">
      <c r="A805" s="133"/>
      <c r="B805" s="127"/>
      <c r="C805" s="127"/>
      <c r="D805" s="127" t="s">
        <v>292</v>
      </c>
      <c r="E805" s="127"/>
      <c r="F805" s="128"/>
      <c r="G805" s="129"/>
      <c r="H805" s="130" t="s">
        <v>293</v>
      </c>
      <c r="I805" s="135">
        <v>0</v>
      </c>
      <c r="J805" s="39">
        <v>0</v>
      </c>
      <c r="K805" s="39">
        <f t="shared" si="57"/>
        <v>0</v>
      </c>
      <c r="L805" s="39">
        <f>J805+K805</f>
        <v>0</v>
      </c>
      <c r="M805" s="39">
        <v>0</v>
      </c>
    </row>
    <row r="806" spans="1:13" s="97" customFormat="1" ht="18" customHeight="1">
      <c r="A806" s="133"/>
      <c r="B806" s="127"/>
      <c r="C806" s="127"/>
      <c r="D806" s="127" t="s">
        <v>359</v>
      </c>
      <c r="E806" s="127"/>
      <c r="F806" s="128"/>
      <c r="G806" s="129" t="s">
        <v>289</v>
      </c>
      <c r="H806" s="130" t="s">
        <v>290</v>
      </c>
      <c r="I806" s="135">
        <v>0</v>
      </c>
      <c r="J806" s="39">
        <v>0</v>
      </c>
      <c r="K806" s="39">
        <f t="shared" si="57"/>
        <v>0</v>
      </c>
      <c r="L806" s="39">
        <f>J806+K806</f>
        <v>0</v>
      </c>
      <c r="M806" s="39">
        <v>0</v>
      </c>
    </row>
    <row r="807" spans="1:13" s="97" customFormat="1" ht="18" customHeight="1">
      <c r="A807" s="139"/>
      <c r="B807" s="140"/>
      <c r="C807" s="140"/>
      <c r="D807" s="140" t="s">
        <v>245</v>
      </c>
      <c r="E807" s="140"/>
      <c r="F807" s="141"/>
      <c r="G807" s="142"/>
      <c r="H807" s="169"/>
      <c r="I807" s="143">
        <f>SUM(I802:I806)</f>
        <v>65004.5</v>
      </c>
      <c r="J807" s="143">
        <f>SUM(J802:J806)</f>
        <v>0</v>
      </c>
      <c r="K807" s="143">
        <f>SUM(K802:K806)</f>
        <v>160000</v>
      </c>
      <c r="L807" s="143">
        <f>SUM(L802:L806)</f>
        <v>160000</v>
      </c>
      <c r="M807" s="143">
        <f>SUM(M802:M806)</f>
        <v>300000</v>
      </c>
    </row>
    <row r="808" spans="1:13" s="92" customFormat="1" ht="18" customHeight="1">
      <c r="A808" s="139"/>
      <c r="B808" s="140"/>
      <c r="C808" s="140"/>
      <c r="D808" s="140"/>
      <c r="E808" s="140"/>
      <c r="F808" s="141"/>
      <c r="G808" s="142"/>
      <c r="H808" s="169"/>
      <c r="I808" s="143"/>
      <c r="J808" s="46"/>
      <c r="K808" s="46"/>
      <c r="L808" s="46"/>
      <c r="M808" s="46"/>
    </row>
    <row r="809" spans="1:13" s="103" customFormat="1" ht="20.100000000000001" customHeight="1">
      <c r="A809" s="146" t="s">
        <v>187</v>
      </c>
      <c r="B809" s="148"/>
      <c r="C809" s="148"/>
      <c r="D809" s="148"/>
      <c r="E809" s="148"/>
      <c r="F809" s="149"/>
      <c r="G809" s="166"/>
      <c r="H809" s="170"/>
      <c r="I809" s="152">
        <f>SUM(I807+I800+I787)</f>
        <v>9664564.3599999994</v>
      </c>
      <c r="J809" s="152">
        <f>SUM(J807+J800+J787)</f>
        <v>3742894.7300000004</v>
      </c>
      <c r="K809" s="152">
        <f>SUM(K807+K800+K787)</f>
        <v>8523826.0700000003</v>
      </c>
      <c r="L809" s="152">
        <f>SUM(L807+L800+L787)</f>
        <v>12266720.800000001</v>
      </c>
      <c r="M809" s="152">
        <f>SUM(M807+M800+M787)</f>
        <v>13411312.800000001</v>
      </c>
    </row>
    <row r="810" spans="1:13" s="103" customFormat="1" ht="20.100000000000001" customHeight="1">
      <c r="A810" s="100"/>
      <c r="B810" s="100"/>
      <c r="C810" s="100"/>
      <c r="D810" s="100"/>
      <c r="E810" s="100"/>
      <c r="F810" s="100"/>
      <c r="G810" s="198"/>
      <c r="H810" s="227"/>
      <c r="I810" s="228"/>
      <c r="J810" s="228"/>
      <c r="K810" s="228"/>
      <c r="L810" s="228"/>
      <c r="M810" s="228"/>
    </row>
    <row r="811" spans="1:13" s="103" customFormat="1" ht="20.100000000000001" customHeight="1">
      <c r="A811" s="241" t="s">
        <v>490</v>
      </c>
      <c r="B811" s="241"/>
      <c r="C811" s="241"/>
      <c r="D811" s="241"/>
      <c r="E811" s="241"/>
      <c r="F811" s="241"/>
      <c r="G811" s="241"/>
      <c r="H811" s="241"/>
      <c r="I811" s="241"/>
      <c r="J811" s="241"/>
      <c r="K811" s="241"/>
      <c r="L811" s="241"/>
      <c r="M811" s="241"/>
    </row>
    <row r="812" spans="1:13" s="103" customFormat="1" ht="20.100000000000001" customHeight="1">
      <c r="A812" s="93"/>
      <c r="B812" s="94"/>
      <c r="C812" s="93"/>
      <c r="D812" s="93"/>
      <c r="E812" s="93"/>
      <c r="F812" s="95"/>
      <c r="G812" s="93"/>
      <c r="H812" s="96"/>
      <c r="I812" s="96"/>
      <c r="J812" s="92"/>
      <c r="K812" s="61"/>
      <c r="L812" s="61"/>
      <c r="M812" s="55"/>
    </row>
    <row r="813" spans="1:13" s="103" customFormat="1" ht="20.100000000000001" customHeight="1">
      <c r="A813" s="242" t="s">
        <v>491</v>
      </c>
      <c r="B813" s="242"/>
      <c r="C813" s="92"/>
      <c r="D813" s="242"/>
      <c r="E813" s="242"/>
      <c r="F813" s="92"/>
      <c r="G813" s="242"/>
      <c r="H813" s="242"/>
      <c r="I813" s="242" t="s">
        <v>492</v>
      </c>
      <c r="J813" s="242"/>
      <c r="K813" s="242"/>
      <c r="L813" s="242" t="s">
        <v>493</v>
      </c>
      <c r="M813" s="242"/>
    </row>
    <row r="814" spans="1:13" s="103" customFormat="1" ht="20.100000000000001" customHeight="1">
      <c r="A814" s="93"/>
      <c r="B814" s="94"/>
      <c r="C814" s="92"/>
      <c r="D814" s="93"/>
      <c r="E814" s="93"/>
      <c r="F814" s="92"/>
      <c r="G814" s="93"/>
      <c r="H814" s="92"/>
      <c r="I814" s="93"/>
      <c r="J814" s="96"/>
      <c r="K814" s="60"/>
      <c r="L814" s="95"/>
      <c r="M814" s="61"/>
    </row>
    <row r="815" spans="1:13" s="103" customFormat="1" ht="20.100000000000001" customHeight="1">
      <c r="A815" s="404" t="s">
        <v>517</v>
      </c>
      <c r="B815" s="404"/>
      <c r="C815" s="404"/>
      <c r="D815" s="404"/>
      <c r="E815" s="404"/>
      <c r="F815" s="404"/>
      <c r="G815" s="94"/>
      <c r="H815" s="243"/>
      <c r="I815" s="404" t="s">
        <v>494</v>
      </c>
      <c r="J815" s="404"/>
      <c r="K815" s="58"/>
      <c r="L815" s="404" t="s">
        <v>328</v>
      </c>
      <c r="M815" s="404"/>
    </row>
    <row r="816" spans="1:13" s="103" customFormat="1" ht="20.100000000000001" customHeight="1">
      <c r="A816" s="406" t="s">
        <v>495</v>
      </c>
      <c r="B816" s="406"/>
      <c r="C816" s="406"/>
      <c r="D816" s="406"/>
      <c r="E816" s="406"/>
      <c r="F816" s="406"/>
      <c r="G816" s="15"/>
      <c r="H816" s="15"/>
      <c r="I816" s="406" t="s">
        <v>496</v>
      </c>
      <c r="J816" s="406"/>
      <c r="K816" s="15"/>
      <c r="L816" s="406" t="s">
        <v>497</v>
      </c>
      <c r="M816" s="406"/>
    </row>
    <row r="817" spans="1:13" s="33" customFormat="1" ht="18" customHeight="1">
      <c r="A817" s="32"/>
      <c r="B817" s="31"/>
      <c r="C817" s="32"/>
      <c r="F817" s="31"/>
      <c r="G817" s="400"/>
      <c r="H817" s="400"/>
      <c r="I817" s="401"/>
      <c r="J817" s="401"/>
      <c r="K817" s="55"/>
      <c r="L817" s="56"/>
      <c r="M817" s="55"/>
    </row>
    <row r="818" spans="1:13" s="81" customFormat="1" ht="15" customHeight="1">
      <c r="A818" s="399" t="s">
        <v>481</v>
      </c>
      <c r="B818" s="399"/>
      <c r="C818" s="399"/>
      <c r="D818" s="399"/>
      <c r="E818" s="399"/>
      <c r="F818" s="399"/>
      <c r="G818" s="399"/>
      <c r="H818" s="399"/>
      <c r="I818" s="399"/>
      <c r="J818" s="399"/>
      <c r="K818" s="399"/>
      <c r="L818" s="399"/>
      <c r="M818" s="399"/>
    </row>
    <row r="819" spans="1:13" s="81" customFormat="1" ht="15" customHeight="1">
      <c r="A819" s="245"/>
      <c r="B819" s="245"/>
      <c r="C819" s="245"/>
      <c r="D819" s="245"/>
      <c r="E819" s="245"/>
      <c r="F819" s="245"/>
      <c r="G819" s="245"/>
      <c r="H819" s="245"/>
      <c r="I819" s="245"/>
      <c r="J819" s="245"/>
      <c r="K819" s="245"/>
      <c r="L819" s="245"/>
      <c r="M819" s="245"/>
    </row>
    <row r="820" spans="1:13" s="81" customFormat="1" ht="15" customHeight="1">
      <c r="A820" s="238" t="s">
        <v>482</v>
      </c>
      <c r="B820" s="238"/>
      <c r="C820" s="238"/>
      <c r="D820" s="239"/>
      <c r="E820" s="239"/>
      <c r="F820" s="238" t="s">
        <v>483</v>
      </c>
      <c r="G820" s="238"/>
      <c r="H820" s="238"/>
      <c r="I820" s="238"/>
      <c r="J820" s="238" t="s">
        <v>484</v>
      </c>
      <c r="K820" s="238" t="str">
        <f>$K$9</f>
        <v>2025</v>
      </c>
      <c r="L820" s="238"/>
      <c r="M820" s="238"/>
    </row>
    <row r="821" spans="1:13" s="81" customFormat="1" ht="15" customHeight="1">
      <c r="A821" s="238" t="s">
        <v>485</v>
      </c>
      <c r="B821" s="238"/>
      <c r="C821" s="238"/>
      <c r="D821" s="239"/>
      <c r="E821" s="238"/>
      <c r="F821" s="238" t="s">
        <v>486</v>
      </c>
      <c r="G821" s="238"/>
      <c r="H821" s="238"/>
      <c r="I821" s="238"/>
      <c r="J821" s="238" t="s">
        <v>487</v>
      </c>
      <c r="K821" s="94" t="s">
        <v>518</v>
      </c>
      <c r="L821" s="238"/>
      <c r="M821" s="238"/>
    </row>
    <row r="822" spans="1:13" s="81" customFormat="1" ht="15" customHeight="1">
      <c r="A822" s="238" t="s">
        <v>489</v>
      </c>
      <c r="B822" s="238"/>
      <c r="C822" s="238"/>
      <c r="D822" s="238"/>
      <c r="E822" s="238"/>
      <c r="F822" s="238"/>
      <c r="G822" s="238"/>
      <c r="H822" s="238"/>
      <c r="I822" s="238"/>
      <c r="J822" s="238"/>
      <c r="K822" s="238"/>
      <c r="L822" s="238"/>
      <c r="M822" s="238"/>
    </row>
    <row r="823" spans="1:13" s="33" customFormat="1" ht="18" customHeight="1" thickBot="1">
      <c r="A823" s="400"/>
      <c r="B823" s="400"/>
      <c r="C823" s="400"/>
      <c r="D823" s="400"/>
      <c r="E823" s="400"/>
      <c r="F823" s="400"/>
      <c r="G823" s="400"/>
      <c r="H823" s="400"/>
      <c r="I823" s="400"/>
      <c r="J823" s="400"/>
      <c r="K823" s="400"/>
      <c r="L823" s="400"/>
      <c r="M823" s="400"/>
    </row>
    <row r="824" spans="1:13" ht="18" customHeight="1">
      <c r="A824" s="192"/>
      <c r="B824" s="193"/>
      <c r="C824" s="193"/>
      <c r="D824" s="193"/>
      <c r="E824" s="193"/>
      <c r="F824" s="194"/>
      <c r="G824" s="195"/>
      <c r="H824" s="196"/>
      <c r="I824" s="196" t="s">
        <v>3</v>
      </c>
      <c r="J824" s="394" t="s">
        <v>188</v>
      </c>
      <c r="K824" s="395"/>
      <c r="L824" s="396"/>
      <c r="M824" s="197" t="s">
        <v>4</v>
      </c>
    </row>
    <row r="825" spans="1:13" ht="18" customHeight="1">
      <c r="A825" s="388"/>
      <c r="B825" s="389"/>
      <c r="C825" s="389"/>
      <c r="D825" s="389"/>
      <c r="E825" s="389"/>
      <c r="F825" s="390"/>
      <c r="G825" s="199"/>
      <c r="H825" s="200"/>
      <c r="I825" s="200">
        <v>2023</v>
      </c>
      <c r="J825" s="200" t="s">
        <v>137</v>
      </c>
      <c r="K825" s="200" t="s">
        <v>138</v>
      </c>
      <c r="L825" s="200">
        <v>2024</v>
      </c>
      <c r="M825" s="201">
        <v>2025</v>
      </c>
    </row>
    <row r="826" spans="1:13" ht="18" customHeight="1">
      <c r="A826" s="388" t="s">
        <v>8</v>
      </c>
      <c r="B826" s="389"/>
      <c r="C826" s="389"/>
      <c r="D826" s="389"/>
      <c r="E826" s="389"/>
      <c r="F826" s="390"/>
      <c r="G826" s="202"/>
      <c r="H826" s="203" t="s">
        <v>186</v>
      </c>
      <c r="I826" s="200" t="s">
        <v>311</v>
      </c>
      <c r="J826" s="200" t="s">
        <v>136</v>
      </c>
      <c r="K826" s="200" t="s">
        <v>139</v>
      </c>
      <c r="L826" s="200" t="s">
        <v>311</v>
      </c>
      <c r="M826" s="201" t="s">
        <v>311</v>
      </c>
    </row>
    <row r="827" spans="1:13" ht="18" customHeight="1">
      <c r="A827" s="204"/>
      <c r="B827" s="99"/>
      <c r="C827" s="99"/>
      <c r="D827" s="99"/>
      <c r="E827" s="99"/>
      <c r="F827" s="205"/>
      <c r="G827" s="202"/>
      <c r="H827" s="200"/>
      <c r="I827" s="200" t="s">
        <v>136</v>
      </c>
      <c r="J827" s="200">
        <v>2024</v>
      </c>
      <c r="K827" s="200">
        <v>2024</v>
      </c>
      <c r="L827" s="200" t="s">
        <v>312</v>
      </c>
      <c r="M827" s="201" t="s">
        <v>140</v>
      </c>
    </row>
    <row r="828" spans="1:13" ht="18" customHeight="1" thickBot="1">
      <c r="A828" s="391"/>
      <c r="B828" s="392"/>
      <c r="C828" s="392"/>
      <c r="D828" s="392"/>
      <c r="E828" s="392"/>
      <c r="F828" s="393"/>
      <c r="G828" s="206"/>
      <c r="H828" s="207"/>
      <c r="I828" s="207"/>
      <c r="J828" s="207"/>
      <c r="K828" s="207"/>
      <c r="L828" s="207"/>
      <c r="M828" s="208"/>
    </row>
    <row r="829" spans="1:13" ht="18" customHeight="1">
      <c r="A829" s="209"/>
      <c r="B829" s="210" t="s">
        <v>51</v>
      </c>
      <c r="C829" s="211"/>
      <c r="D829" s="210"/>
      <c r="E829" s="210"/>
      <c r="F829" s="212"/>
      <c r="G829" s="213"/>
      <c r="H829" s="225"/>
      <c r="I829" s="226"/>
      <c r="J829" s="62"/>
      <c r="K829" s="62"/>
      <c r="L829" s="62"/>
      <c r="M829" s="62"/>
    </row>
    <row r="830" spans="1:13" s="97" customFormat="1" ht="18" customHeight="1">
      <c r="A830" s="133"/>
      <c r="B830" s="127"/>
      <c r="C830" s="127" t="s">
        <v>102</v>
      </c>
      <c r="D830" s="127"/>
      <c r="E830" s="127"/>
      <c r="F830" s="128"/>
      <c r="G830" s="129"/>
      <c r="H830" s="167"/>
      <c r="I830" s="168"/>
      <c r="J830" s="63"/>
      <c r="K830" s="63"/>
      <c r="L830" s="63"/>
      <c r="M830" s="63"/>
    </row>
    <row r="831" spans="1:13" s="97" customFormat="1" ht="18" customHeight="1">
      <c r="A831" s="133"/>
      <c r="B831" s="127"/>
      <c r="C831" s="127"/>
      <c r="D831" s="127" t="s">
        <v>103</v>
      </c>
      <c r="E831" s="127"/>
      <c r="F831" s="128"/>
      <c r="G831" s="129" t="s">
        <v>156</v>
      </c>
      <c r="H831" s="130" t="s">
        <v>196</v>
      </c>
      <c r="I831" s="135">
        <v>2378934.5499999998</v>
      </c>
      <c r="J831" s="39">
        <v>1282292.18</v>
      </c>
      <c r="K831" s="39">
        <f>3027803-J831</f>
        <v>1745510.82</v>
      </c>
      <c r="L831" s="39">
        <f>SUM(K831+J831)</f>
        <v>3027803</v>
      </c>
      <c r="M831" s="39">
        <v>3348074</v>
      </c>
    </row>
    <row r="832" spans="1:13" s="97" customFormat="1" ht="18" customHeight="1">
      <c r="A832" s="133"/>
      <c r="B832" s="127"/>
      <c r="C832" s="127" t="s">
        <v>104</v>
      </c>
      <c r="D832" s="127"/>
      <c r="E832" s="127"/>
      <c r="F832" s="128"/>
      <c r="G832" s="129"/>
      <c r="H832" s="167"/>
      <c r="I832" s="135"/>
      <c r="J832" s="39"/>
      <c r="K832" s="39"/>
      <c r="L832" s="39"/>
      <c r="M832" s="39"/>
    </row>
    <row r="833" spans="1:13" s="97" customFormat="1" ht="18" customHeight="1">
      <c r="A833" s="133"/>
      <c r="B833" s="127"/>
      <c r="C833" s="127"/>
      <c r="D833" s="127" t="s">
        <v>105</v>
      </c>
      <c r="E833" s="127"/>
      <c r="F833" s="128"/>
      <c r="G833" s="129" t="s">
        <v>157</v>
      </c>
      <c r="H833" s="130" t="s">
        <v>197</v>
      </c>
      <c r="I833" s="135">
        <v>182000</v>
      </c>
      <c r="J833" s="39">
        <v>94636.37</v>
      </c>
      <c r="K833" s="39">
        <f>216000-J833</f>
        <v>121363.63</v>
      </c>
      <c r="L833" s="39">
        <f t="shared" ref="L833:L851" si="58">SUM(K833+J833)</f>
        <v>216000</v>
      </c>
      <c r="M833" s="39">
        <v>216000</v>
      </c>
    </row>
    <row r="834" spans="1:13" s="97" customFormat="1" ht="18" customHeight="1">
      <c r="A834" s="133"/>
      <c r="B834" s="127"/>
      <c r="C834" s="127"/>
      <c r="D834" s="127" t="s">
        <v>107</v>
      </c>
      <c r="E834" s="127"/>
      <c r="F834" s="128"/>
      <c r="G834" s="129" t="s">
        <v>158</v>
      </c>
      <c r="H834" s="130" t="s">
        <v>198</v>
      </c>
      <c r="I834" s="135">
        <v>76500</v>
      </c>
      <c r="J834" s="39">
        <v>43350</v>
      </c>
      <c r="K834" s="39">
        <f>86700-J834</f>
        <v>43350</v>
      </c>
      <c r="L834" s="39">
        <f t="shared" si="58"/>
        <v>86700</v>
      </c>
      <c r="M834" s="39">
        <v>86700</v>
      </c>
    </row>
    <row r="835" spans="1:13" s="97" customFormat="1" ht="18" customHeight="1">
      <c r="A835" s="133"/>
      <c r="B835" s="127"/>
      <c r="C835" s="127"/>
      <c r="D835" s="127" t="s">
        <v>106</v>
      </c>
      <c r="E835" s="127"/>
      <c r="F835" s="128"/>
      <c r="G835" s="129" t="s">
        <v>159</v>
      </c>
      <c r="H835" s="130" t="s">
        <v>199</v>
      </c>
      <c r="I835" s="135">
        <v>76500</v>
      </c>
      <c r="J835" s="39">
        <v>43350</v>
      </c>
      <c r="K835" s="39">
        <f>86700-J835</f>
        <v>43350</v>
      </c>
      <c r="L835" s="39">
        <f t="shared" si="58"/>
        <v>86700</v>
      </c>
      <c r="M835" s="39">
        <v>86700</v>
      </c>
    </row>
    <row r="836" spans="1:13" s="97" customFormat="1" ht="18" customHeight="1">
      <c r="A836" s="133"/>
      <c r="B836" s="127"/>
      <c r="C836" s="127"/>
      <c r="D836" s="127" t="s">
        <v>108</v>
      </c>
      <c r="E836" s="127"/>
      <c r="F836" s="128"/>
      <c r="G836" s="129" t="s">
        <v>160</v>
      </c>
      <c r="H836" s="130" t="s">
        <v>200</v>
      </c>
      <c r="I836" s="135">
        <v>42000</v>
      </c>
      <c r="J836" s="39">
        <v>51000</v>
      </c>
      <c r="K836" s="39">
        <f>63000-J836</f>
        <v>12000</v>
      </c>
      <c r="L836" s="39">
        <f t="shared" si="58"/>
        <v>63000</v>
      </c>
      <c r="M836" s="39">
        <v>63000</v>
      </c>
    </row>
    <row r="837" spans="1:13" s="97" customFormat="1" ht="18" customHeight="1">
      <c r="A837" s="133"/>
      <c r="B837" s="127"/>
      <c r="C837" s="127"/>
      <c r="D837" s="127" t="s">
        <v>194</v>
      </c>
      <c r="E837" s="127"/>
      <c r="F837" s="128"/>
      <c r="G837" s="129" t="s">
        <v>162</v>
      </c>
      <c r="H837" s="130" t="s">
        <v>201</v>
      </c>
      <c r="I837" s="135">
        <v>35000</v>
      </c>
      <c r="J837" s="39"/>
      <c r="K837" s="39">
        <f>45000-J837</f>
        <v>45000</v>
      </c>
      <c r="L837" s="39">
        <f t="shared" si="58"/>
        <v>45000</v>
      </c>
      <c r="M837" s="39">
        <v>45000</v>
      </c>
    </row>
    <row r="838" spans="1:13" s="97" customFormat="1" ht="18" customHeight="1">
      <c r="A838" s="133"/>
      <c r="B838" s="127"/>
      <c r="C838" s="127"/>
      <c r="D838" s="127" t="s">
        <v>110</v>
      </c>
      <c r="E838" s="127"/>
      <c r="F838" s="128"/>
      <c r="G838" s="129" t="s">
        <v>92</v>
      </c>
      <c r="H838" s="130" t="s">
        <v>202</v>
      </c>
      <c r="I838" s="135"/>
      <c r="J838" s="39">
        <v>10000</v>
      </c>
      <c r="K838" s="39">
        <f>10000-J838</f>
        <v>0</v>
      </c>
      <c r="L838" s="39">
        <f t="shared" si="58"/>
        <v>10000</v>
      </c>
      <c r="M838" s="39">
        <v>25000</v>
      </c>
    </row>
    <row r="839" spans="1:13" s="97" customFormat="1" ht="18" customHeight="1">
      <c r="A839" s="133"/>
      <c r="B839" s="127"/>
      <c r="C839" s="127"/>
      <c r="D839" s="127" t="s">
        <v>354</v>
      </c>
      <c r="E839" s="127"/>
      <c r="F839" s="128"/>
      <c r="G839" s="129" t="s">
        <v>92</v>
      </c>
      <c r="H839" s="130" t="s">
        <v>202</v>
      </c>
      <c r="I839" s="135"/>
      <c r="J839" s="39"/>
      <c r="K839" s="39">
        <f>0-J839</f>
        <v>0</v>
      </c>
      <c r="L839" s="39">
        <f t="shared" si="58"/>
        <v>0</v>
      </c>
      <c r="M839" s="39">
        <v>0</v>
      </c>
    </row>
    <row r="840" spans="1:13" s="97" customFormat="1" ht="18" customHeight="1">
      <c r="A840" s="133"/>
      <c r="B840" s="127"/>
      <c r="C840" s="127"/>
      <c r="D840" s="127" t="s">
        <v>421</v>
      </c>
      <c r="E840" s="127"/>
      <c r="F840" s="128"/>
      <c r="G840" s="129"/>
      <c r="H840" s="130" t="s">
        <v>202</v>
      </c>
      <c r="I840" s="135"/>
      <c r="J840" s="39"/>
      <c r="K840" s="39">
        <f>0-J840</f>
        <v>0</v>
      </c>
      <c r="L840" s="39">
        <f t="shared" si="58"/>
        <v>0</v>
      </c>
      <c r="M840" s="39">
        <v>63000</v>
      </c>
    </row>
    <row r="841" spans="1:13" s="97" customFormat="1" ht="18" customHeight="1">
      <c r="A841" s="133"/>
      <c r="B841" s="127"/>
      <c r="C841" s="127"/>
      <c r="D841" s="127" t="s">
        <v>112</v>
      </c>
      <c r="E841" s="127"/>
      <c r="F841" s="128"/>
      <c r="G841" s="129" t="s">
        <v>165</v>
      </c>
      <c r="H841" s="130" t="s">
        <v>203</v>
      </c>
      <c r="I841" s="135">
        <v>38500</v>
      </c>
      <c r="J841" s="39"/>
      <c r="K841" s="39">
        <f>45000-J841</f>
        <v>45000</v>
      </c>
      <c r="L841" s="39">
        <f t="shared" si="58"/>
        <v>45000</v>
      </c>
      <c r="M841" s="39">
        <v>45000</v>
      </c>
    </row>
    <row r="842" spans="1:13" s="97" customFormat="1" ht="18" customHeight="1">
      <c r="A842" s="133"/>
      <c r="B842" s="127"/>
      <c r="C842" s="127"/>
      <c r="D842" s="127" t="s">
        <v>252</v>
      </c>
      <c r="E842" s="127"/>
      <c r="F842" s="127"/>
      <c r="G842" s="138" t="s">
        <v>92</v>
      </c>
      <c r="H842" s="130" t="s">
        <v>202</v>
      </c>
      <c r="I842" s="135">
        <v>207347</v>
      </c>
      <c r="J842" s="39">
        <v>196254</v>
      </c>
      <c r="K842" s="39">
        <f>247584-J842</f>
        <v>51330</v>
      </c>
      <c r="L842" s="39">
        <f t="shared" si="58"/>
        <v>247584</v>
      </c>
      <c r="M842" s="39">
        <v>274551</v>
      </c>
    </row>
    <row r="843" spans="1:13" s="97" customFormat="1" ht="18" customHeight="1">
      <c r="A843" s="133"/>
      <c r="B843" s="127"/>
      <c r="C843" s="127"/>
      <c r="D843" s="127" t="s">
        <v>113</v>
      </c>
      <c r="E843" s="127"/>
      <c r="F843" s="128"/>
      <c r="G843" s="129" t="s">
        <v>166</v>
      </c>
      <c r="H843" s="130" t="s">
        <v>204</v>
      </c>
      <c r="I843" s="135">
        <v>218042.2</v>
      </c>
      <c r="J843" s="39"/>
      <c r="K843" s="39">
        <f>259279-J843</f>
        <v>259279</v>
      </c>
      <c r="L843" s="39">
        <f t="shared" si="58"/>
        <v>259279</v>
      </c>
      <c r="M843" s="39">
        <v>287964</v>
      </c>
    </row>
    <row r="844" spans="1:13" s="97" customFormat="1" ht="18" customHeight="1">
      <c r="A844" s="133"/>
      <c r="B844" s="127"/>
      <c r="C844" s="127"/>
      <c r="D844" s="127" t="s">
        <v>190</v>
      </c>
      <c r="E844" s="127"/>
      <c r="F844" s="128"/>
      <c r="G844" s="129" t="s">
        <v>167</v>
      </c>
      <c r="H844" s="130" t="s">
        <v>205</v>
      </c>
      <c r="I844" s="135">
        <f>259602.84+9139.2</f>
        <v>268742.03999999998</v>
      </c>
      <c r="J844" s="39">
        <v>127894.72</v>
      </c>
      <c r="K844" s="39">
        <f>356350-J844</f>
        <v>228455.28</v>
      </c>
      <c r="L844" s="39">
        <f t="shared" si="58"/>
        <v>356350</v>
      </c>
      <c r="M844" s="39">
        <v>402000</v>
      </c>
    </row>
    <row r="845" spans="1:13" s="97" customFormat="1" ht="18" customHeight="1">
      <c r="A845" s="133"/>
      <c r="B845" s="127"/>
      <c r="C845" s="127"/>
      <c r="D845" s="127" t="s">
        <v>114</v>
      </c>
      <c r="E845" s="127"/>
      <c r="F845" s="128"/>
      <c r="G845" s="129" t="s">
        <v>168</v>
      </c>
      <c r="H845" s="130" t="s">
        <v>206</v>
      </c>
      <c r="I845" s="135">
        <f>8000+700</f>
        <v>8700</v>
      </c>
      <c r="J845" s="39">
        <v>7200</v>
      </c>
      <c r="K845" s="39">
        <f>29600-J845</f>
        <v>22400</v>
      </c>
      <c r="L845" s="39">
        <f t="shared" si="58"/>
        <v>29600</v>
      </c>
      <c r="M845" s="39">
        <v>21600</v>
      </c>
    </row>
    <row r="846" spans="1:13" s="97" customFormat="1" ht="18" customHeight="1">
      <c r="A846" s="133"/>
      <c r="B846" s="127"/>
      <c r="C846" s="127"/>
      <c r="D846" s="127" t="s">
        <v>115</v>
      </c>
      <c r="E846" s="127"/>
      <c r="F846" s="128"/>
      <c r="G846" s="129" t="s">
        <v>169</v>
      </c>
      <c r="H846" s="130" t="s">
        <v>207</v>
      </c>
      <c r="I846" s="135">
        <v>47040</v>
      </c>
      <c r="J846" s="39">
        <v>26994.26</v>
      </c>
      <c r="K846" s="39">
        <f>76800-J846</f>
        <v>49805.740000000005</v>
      </c>
      <c r="L846" s="39">
        <f t="shared" si="58"/>
        <v>76800</v>
      </c>
      <c r="M846" s="39">
        <v>84000</v>
      </c>
    </row>
    <row r="847" spans="1:13" s="97" customFormat="1" ht="18" customHeight="1">
      <c r="A847" s="133"/>
      <c r="B847" s="127"/>
      <c r="C847" s="127"/>
      <c r="D847" s="127" t="s">
        <v>189</v>
      </c>
      <c r="E847" s="127"/>
      <c r="F847" s="128"/>
      <c r="G847" s="129" t="s">
        <v>170</v>
      </c>
      <c r="H847" s="130" t="s">
        <v>208</v>
      </c>
      <c r="I847" s="135">
        <f>8300+600</f>
        <v>8900</v>
      </c>
      <c r="J847" s="39">
        <v>4000</v>
      </c>
      <c r="K847" s="39">
        <f>10800-J847</f>
        <v>6800</v>
      </c>
      <c r="L847" s="39">
        <f t="shared" si="58"/>
        <v>10800</v>
      </c>
      <c r="M847" s="39">
        <v>10800</v>
      </c>
    </row>
    <row r="848" spans="1:13" s="97" customFormat="1" ht="18" customHeight="1">
      <c r="A848" s="133"/>
      <c r="B848" s="127"/>
      <c r="C848" s="127"/>
      <c r="D848" s="127" t="s">
        <v>54</v>
      </c>
      <c r="E848" s="127"/>
      <c r="F848" s="128"/>
      <c r="G848" s="129" t="s">
        <v>171</v>
      </c>
      <c r="H848" s="130" t="s">
        <v>209</v>
      </c>
      <c r="I848" s="135">
        <v>255147.32</v>
      </c>
      <c r="J848" s="39"/>
      <c r="K848" s="39">
        <f>0-J848</f>
        <v>0</v>
      </c>
      <c r="L848" s="39">
        <f t="shared" si="58"/>
        <v>0</v>
      </c>
      <c r="M848" s="39">
        <v>0</v>
      </c>
    </row>
    <row r="849" spans="1:13" s="97" customFormat="1" ht="18" customHeight="1">
      <c r="A849" s="133"/>
      <c r="B849" s="127"/>
      <c r="C849" s="127"/>
      <c r="D849" s="127" t="s">
        <v>117</v>
      </c>
      <c r="E849" s="127"/>
      <c r="F849" s="128"/>
      <c r="G849" s="129" t="s">
        <v>67</v>
      </c>
      <c r="H849" s="130" t="s">
        <v>220</v>
      </c>
      <c r="I849" s="135">
        <v>0</v>
      </c>
      <c r="J849" s="39">
        <v>83695.09</v>
      </c>
      <c r="K849" s="39">
        <f>98082.55-J849</f>
        <v>14387.460000000006</v>
      </c>
      <c r="L849" s="39">
        <f t="shared" si="58"/>
        <v>98082.55</v>
      </c>
      <c r="M849" s="39">
        <v>0</v>
      </c>
    </row>
    <row r="850" spans="1:13" s="97" customFormat="1" ht="18" customHeight="1">
      <c r="A850" s="133"/>
      <c r="B850" s="127"/>
      <c r="C850" s="127"/>
      <c r="D850" s="127" t="s">
        <v>343</v>
      </c>
      <c r="E850" s="127"/>
      <c r="F850" s="128"/>
      <c r="G850" s="129"/>
      <c r="H850" s="130" t="s">
        <v>220</v>
      </c>
      <c r="I850" s="135">
        <v>140000</v>
      </c>
      <c r="J850" s="39"/>
      <c r="K850" s="39">
        <f>160000-J850</f>
        <v>160000</v>
      </c>
      <c r="L850" s="39">
        <f t="shared" si="58"/>
        <v>160000</v>
      </c>
      <c r="M850" s="39">
        <v>0</v>
      </c>
    </row>
    <row r="851" spans="1:13" ht="18" customHeight="1">
      <c r="A851" s="133"/>
      <c r="B851" s="127"/>
      <c r="C851" s="127"/>
      <c r="D851" s="191" t="s">
        <v>423</v>
      </c>
      <c r="E851" s="127"/>
      <c r="F851" s="128"/>
      <c r="G851" s="129"/>
      <c r="H851" s="130" t="s">
        <v>220</v>
      </c>
      <c r="I851" s="135">
        <v>240000</v>
      </c>
      <c r="J851" s="39"/>
      <c r="K851" s="39">
        <f>240000-J851</f>
        <v>240000</v>
      </c>
      <c r="L851" s="39">
        <f t="shared" si="58"/>
        <v>240000</v>
      </c>
      <c r="M851" s="39"/>
    </row>
    <row r="852" spans="1:13" ht="18" customHeight="1">
      <c r="A852" s="139"/>
      <c r="B852" s="140"/>
      <c r="C852" s="140"/>
      <c r="D852" s="140" t="s">
        <v>53</v>
      </c>
      <c r="E852" s="140"/>
      <c r="F852" s="141"/>
      <c r="G852" s="142"/>
      <c r="H852" s="169"/>
      <c r="I852" s="143">
        <f>SUM(I831:I851)</f>
        <v>4223353.1099999994</v>
      </c>
      <c r="J852" s="143">
        <f t="shared" ref="J852:M852" si="59">SUM(J831:J851)</f>
        <v>1970666.6199999999</v>
      </c>
      <c r="K852" s="143">
        <f t="shared" si="59"/>
        <v>3088031.93</v>
      </c>
      <c r="L852" s="143">
        <f>SUM(L831:L851)</f>
        <v>5058698.55</v>
      </c>
      <c r="M852" s="143">
        <f t="shared" si="59"/>
        <v>5059389</v>
      </c>
    </row>
    <row r="853" spans="1:13" s="97" customFormat="1" ht="18" customHeight="1">
      <c r="A853" s="133"/>
      <c r="B853" s="127" t="s">
        <v>118</v>
      </c>
      <c r="C853" s="127"/>
      <c r="D853" s="127"/>
      <c r="E853" s="127"/>
      <c r="F853" s="128"/>
      <c r="G853" s="129"/>
      <c r="H853" s="167"/>
      <c r="I853" s="135"/>
      <c r="J853" s="39"/>
      <c r="K853" s="39"/>
      <c r="L853" s="39"/>
      <c r="M853" s="39"/>
    </row>
    <row r="854" spans="1:13" s="97" customFormat="1" ht="18" customHeight="1">
      <c r="A854" s="133"/>
      <c r="B854" s="127"/>
      <c r="C854" s="127"/>
      <c r="D854" s="127" t="s">
        <v>119</v>
      </c>
      <c r="E854" s="127"/>
      <c r="F854" s="128"/>
      <c r="G854" s="129" t="s">
        <v>60</v>
      </c>
      <c r="H854" s="130" t="s">
        <v>210</v>
      </c>
      <c r="I854" s="135">
        <v>178490.54</v>
      </c>
      <c r="J854" s="39"/>
      <c r="K854" s="39">
        <f>132000-J854</f>
        <v>132000</v>
      </c>
      <c r="L854" s="39">
        <f t="shared" ref="L854:L864" si="60">SUM(K854+J854)</f>
        <v>132000</v>
      </c>
      <c r="M854" s="39">
        <v>132000</v>
      </c>
    </row>
    <row r="855" spans="1:13" s="97" customFormat="1" ht="18" customHeight="1">
      <c r="A855" s="133"/>
      <c r="B855" s="127"/>
      <c r="C855" s="127"/>
      <c r="D855" s="127" t="s">
        <v>91</v>
      </c>
      <c r="E855" s="127"/>
      <c r="F855" s="128"/>
      <c r="G855" s="129" t="s">
        <v>61</v>
      </c>
      <c r="H855" s="130" t="s">
        <v>211</v>
      </c>
      <c r="I855" s="135">
        <v>188364</v>
      </c>
      <c r="J855" s="39"/>
      <c r="K855" s="39">
        <f>230000-J855</f>
        <v>230000</v>
      </c>
      <c r="L855" s="39">
        <f t="shared" si="60"/>
        <v>230000</v>
      </c>
      <c r="M855" s="39">
        <v>230000</v>
      </c>
    </row>
    <row r="856" spans="1:13" s="97" customFormat="1" ht="18" customHeight="1">
      <c r="A856" s="133"/>
      <c r="B856" s="127"/>
      <c r="C856" s="127"/>
      <c r="D856" s="127" t="s">
        <v>58</v>
      </c>
      <c r="E856" s="127"/>
      <c r="F856" s="128"/>
      <c r="G856" s="129" t="s">
        <v>63</v>
      </c>
      <c r="H856" s="130" t="s">
        <v>212</v>
      </c>
      <c r="I856" s="135">
        <v>30040</v>
      </c>
      <c r="J856" s="39">
        <v>4043.89</v>
      </c>
      <c r="K856" s="39">
        <f>81400-J856</f>
        <v>77356.11</v>
      </c>
      <c r="L856" s="39">
        <f t="shared" si="60"/>
        <v>81400</v>
      </c>
      <c r="M856" s="39">
        <v>200000</v>
      </c>
    </row>
    <row r="857" spans="1:13" s="97" customFormat="1" ht="18" customHeight="1">
      <c r="A857" s="133"/>
      <c r="B857" s="127"/>
      <c r="C857" s="127"/>
      <c r="D857" s="127" t="s">
        <v>123</v>
      </c>
      <c r="E857" s="127"/>
      <c r="F857" s="128"/>
      <c r="G857" s="129" t="s">
        <v>175</v>
      </c>
      <c r="H857" s="130" t="s">
        <v>213</v>
      </c>
      <c r="I857" s="135"/>
      <c r="J857" s="39"/>
      <c r="K857" s="39">
        <f>0-J857</f>
        <v>0</v>
      </c>
      <c r="L857" s="39">
        <f t="shared" si="60"/>
        <v>0</v>
      </c>
      <c r="M857" s="39">
        <v>1000</v>
      </c>
    </row>
    <row r="858" spans="1:13" s="97" customFormat="1" ht="18" customHeight="1">
      <c r="A858" s="133"/>
      <c r="B858" s="127"/>
      <c r="C858" s="127"/>
      <c r="D858" s="127" t="s">
        <v>125</v>
      </c>
      <c r="E858" s="127"/>
      <c r="F858" s="128"/>
      <c r="G858" s="129" t="s">
        <v>64</v>
      </c>
      <c r="H858" s="130" t="s">
        <v>214</v>
      </c>
      <c r="I858" s="135">
        <v>36000</v>
      </c>
      <c r="J858" s="39">
        <v>18000</v>
      </c>
      <c r="K858" s="39">
        <f>36000-J858</f>
        <v>18000</v>
      </c>
      <c r="L858" s="39">
        <f t="shared" si="60"/>
        <v>36000</v>
      </c>
      <c r="M858" s="39">
        <v>24000</v>
      </c>
    </row>
    <row r="859" spans="1:13" s="97" customFormat="1" ht="18" customHeight="1">
      <c r="A859" s="133"/>
      <c r="B859" s="127"/>
      <c r="C859" s="127"/>
      <c r="D859" s="127" t="s">
        <v>304</v>
      </c>
      <c r="E859" s="127"/>
      <c r="F859" s="128"/>
      <c r="G859" s="129" t="s">
        <v>65</v>
      </c>
      <c r="H859" s="130" t="s">
        <v>215</v>
      </c>
      <c r="I859" s="135"/>
      <c r="J859" s="39">
        <v>3530</v>
      </c>
      <c r="K859" s="39">
        <f>20000-J859</f>
        <v>16470</v>
      </c>
      <c r="L859" s="39">
        <f t="shared" si="60"/>
        <v>20000</v>
      </c>
      <c r="M859" s="39">
        <v>20000</v>
      </c>
    </row>
    <row r="860" spans="1:13" s="97" customFormat="1" ht="18" customHeight="1">
      <c r="A860" s="133"/>
      <c r="B860" s="127"/>
      <c r="C860" s="127"/>
      <c r="D860" s="127" t="s">
        <v>470</v>
      </c>
      <c r="E860" s="127"/>
      <c r="F860" s="128"/>
      <c r="G860" s="129"/>
      <c r="H860" s="130" t="s">
        <v>321</v>
      </c>
      <c r="I860" s="135"/>
      <c r="J860" s="39"/>
      <c r="K860" s="39"/>
      <c r="L860" s="39"/>
      <c r="M860" s="39">
        <v>180000</v>
      </c>
    </row>
    <row r="861" spans="1:13" s="97" customFormat="1" ht="18" customHeight="1">
      <c r="A861" s="133"/>
      <c r="B861" s="127"/>
      <c r="C861" s="127"/>
      <c r="D861" s="127" t="s">
        <v>129</v>
      </c>
      <c r="E861" s="127"/>
      <c r="F861" s="128"/>
      <c r="G861" s="129" t="s">
        <v>181</v>
      </c>
      <c r="H861" s="130" t="s">
        <v>228</v>
      </c>
      <c r="I861" s="135">
        <v>726619</v>
      </c>
      <c r="J861" s="39">
        <v>205475</v>
      </c>
      <c r="K861" s="39">
        <f>812882-J861</f>
        <v>607407</v>
      </c>
      <c r="L861" s="39">
        <f t="shared" si="60"/>
        <v>812882</v>
      </c>
      <c r="M861" s="39">
        <v>714580</v>
      </c>
    </row>
    <row r="862" spans="1:13" s="97" customFormat="1" ht="18" customHeight="1">
      <c r="A862" s="133"/>
      <c r="B862" s="127"/>
      <c r="C862" s="127"/>
      <c r="D862" s="127" t="s">
        <v>365</v>
      </c>
      <c r="E862" s="127"/>
      <c r="F862" s="128"/>
      <c r="G862" s="129"/>
      <c r="H862" s="130"/>
      <c r="I862" s="135"/>
      <c r="J862" s="39"/>
      <c r="K862" s="39">
        <f>300000-J862</f>
        <v>300000</v>
      </c>
      <c r="L862" s="39">
        <f t="shared" si="60"/>
        <v>300000</v>
      </c>
      <c r="M862" s="39">
        <v>0</v>
      </c>
    </row>
    <row r="863" spans="1:13" ht="18" customHeight="1">
      <c r="A863" s="133"/>
      <c r="B863" s="127"/>
      <c r="C863" s="127"/>
      <c r="D863" s="127" t="s">
        <v>131</v>
      </c>
      <c r="E863" s="127"/>
      <c r="F863" s="128"/>
      <c r="G863" s="129" t="s">
        <v>66</v>
      </c>
      <c r="H863" s="130" t="s">
        <v>216</v>
      </c>
      <c r="I863" s="135">
        <v>2000</v>
      </c>
      <c r="J863" s="39"/>
      <c r="K863" s="39">
        <f>10000-J863</f>
        <v>10000</v>
      </c>
      <c r="L863" s="39">
        <f t="shared" ref="L863" si="61">SUM(K863+J863)</f>
        <v>10000</v>
      </c>
      <c r="M863" s="39">
        <v>10000</v>
      </c>
    </row>
    <row r="864" spans="1:13" s="97" customFormat="1" ht="18" customHeight="1">
      <c r="A864" s="133"/>
      <c r="B864" s="127"/>
      <c r="C864" s="127"/>
      <c r="D864" s="127" t="s">
        <v>366</v>
      </c>
      <c r="E864" s="127"/>
      <c r="F864" s="128"/>
      <c r="G864" s="129"/>
      <c r="H864" s="130" t="s">
        <v>216</v>
      </c>
      <c r="I864" s="135"/>
      <c r="J864" s="39"/>
      <c r="K864" s="39">
        <f>0-J864</f>
        <v>0</v>
      </c>
      <c r="L864" s="39">
        <f t="shared" si="60"/>
        <v>0</v>
      </c>
      <c r="M864" s="39">
        <v>0</v>
      </c>
    </row>
    <row r="865" spans="1:13" s="97" customFormat="1" ht="18" customHeight="1">
      <c r="A865" s="139"/>
      <c r="B865" s="140"/>
      <c r="C865" s="140"/>
      <c r="D865" s="140" t="s">
        <v>244</v>
      </c>
      <c r="E865" s="140"/>
      <c r="F865" s="141"/>
      <c r="G865" s="142"/>
      <c r="H865" s="169"/>
      <c r="I865" s="143">
        <f>SUM(I854:I864)</f>
        <v>1161513.54</v>
      </c>
      <c r="J865" s="143">
        <f>SUM(J854:J864)</f>
        <v>231048.89</v>
      </c>
      <c r="K865" s="143">
        <f>SUM(K854:K864)</f>
        <v>1391233.1099999999</v>
      </c>
      <c r="L865" s="143">
        <f>SUM(L854:L864)</f>
        <v>1622282</v>
      </c>
      <c r="M865" s="143">
        <f>SUM(M854:M864)</f>
        <v>1511580</v>
      </c>
    </row>
    <row r="866" spans="1:13" s="97" customFormat="1" ht="18" customHeight="1">
      <c r="A866" s="133"/>
      <c r="B866" s="127" t="s">
        <v>132</v>
      </c>
      <c r="C866" s="127"/>
      <c r="D866" s="127"/>
      <c r="E866" s="127"/>
      <c r="F866" s="128"/>
      <c r="G866" s="129"/>
      <c r="H866" s="167"/>
      <c r="I866" s="135"/>
      <c r="J866" s="39"/>
      <c r="K866" s="39"/>
      <c r="L866" s="39"/>
      <c r="M866" s="39"/>
    </row>
    <row r="867" spans="1:13" s="97" customFormat="1" ht="18" customHeight="1">
      <c r="A867" s="133"/>
      <c r="B867" s="127"/>
      <c r="C867" s="127"/>
      <c r="D867" s="127" t="s">
        <v>410</v>
      </c>
      <c r="E867" s="127"/>
      <c r="F867" s="128"/>
      <c r="G867" s="129"/>
      <c r="H867" s="130" t="s">
        <v>315</v>
      </c>
      <c r="I867" s="135">
        <f>703213.28+296604.28</f>
        <v>999817.56</v>
      </c>
      <c r="J867" s="39">
        <v>0</v>
      </c>
      <c r="K867" s="39">
        <f>1700000-J867</f>
        <v>1700000</v>
      </c>
      <c r="L867" s="39">
        <f>SUM(K867+J867)</f>
        <v>1700000</v>
      </c>
      <c r="M867" s="39">
        <v>0</v>
      </c>
    </row>
    <row r="868" spans="1:13" s="97" customFormat="1" ht="18" customHeight="1">
      <c r="A868" s="133"/>
      <c r="B868" s="127"/>
      <c r="C868" s="127"/>
      <c r="D868" s="127" t="s">
        <v>358</v>
      </c>
      <c r="E868" s="127"/>
      <c r="F868" s="128"/>
      <c r="G868" s="129"/>
      <c r="H868" s="130" t="s">
        <v>286</v>
      </c>
      <c r="I868" s="135"/>
      <c r="J868" s="39">
        <v>0</v>
      </c>
      <c r="K868" s="39">
        <f>0-J868</f>
        <v>0</v>
      </c>
      <c r="L868" s="39">
        <f>SUM(K868+J868)</f>
        <v>0</v>
      </c>
      <c r="M868" s="39">
        <v>0</v>
      </c>
    </row>
    <row r="869" spans="1:13" s="97" customFormat="1" ht="18" customHeight="1">
      <c r="A869" s="133"/>
      <c r="B869" s="127"/>
      <c r="C869" s="127"/>
      <c r="D869" s="127" t="s">
        <v>284</v>
      </c>
      <c r="E869" s="127"/>
      <c r="F869" s="128"/>
      <c r="G869" s="129" t="s">
        <v>287</v>
      </c>
      <c r="H869" s="130" t="s">
        <v>348</v>
      </c>
      <c r="I869" s="135"/>
      <c r="J869" s="39">
        <v>0</v>
      </c>
      <c r="K869" s="39">
        <f>60000-J869</f>
        <v>60000</v>
      </c>
      <c r="L869" s="39">
        <f>SUM(K869+J869)</f>
        <v>60000</v>
      </c>
      <c r="M869" s="39">
        <v>65000</v>
      </c>
    </row>
    <row r="870" spans="1:13" s="97" customFormat="1" ht="15.75">
      <c r="A870" s="133"/>
      <c r="B870" s="127"/>
      <c r="C870" s="127"/>
      <c r="D870" s="127" t="s">
        <v>471</v>
      </c>
      <c r="E870" s="127"/>
      <c r="F870" s="128"/>
      <c r="G870" s="129"/>
      <c r="H870" s="130" t="s">
        <v>472</v>
      </c>
      <c r="I870" s="135">
        <v>1498000</v>
      </c>
      <c r="J870" s="39"/>
      <c r="K870" s="39"/>
      <c r="L870" s="39"/>
      <c r="M870" s="39"/>
    </row>
    <row r="871" spans="1:13" s="97" customFormat="1" ht="15.75">
      <c r="A871" s="133"/>
      <c r="B871" s="127"/>
      <c r="C871" s="127"/>
      <c r="D871" s="127" t="s">
        <v>360</v>
      </c>
      <c r="E871" s="127"/>
      <c r="F871" s="128"/>
      <c r="G871" s="129"/>
      <c r="H871" s="130" t="s">
        <v>325</v>
      </c>
      <c r="I871" s="135"/>
      <c r="J871" s="39"/>
      <c r="K871" s="39"/>
      <c r="L871" s="39"/>
      <c r="M871" s="39"/>
    </row>
    <row r="872" spans="1:13" ht="15.75">
      <c r="A872" s="133"/>
      <c r="B872" s="127"/>
      <c r="C872" s="127"/>
      <c r="D872" s="380" t="s">
        <v>473</v>
      </c>
      <c r="E872" s="380"/>
      <c r="F872" s="381"/>
      <c r="G872" s="129"/>
      <c r="H872" s="130" t="s">
        <v>474</v>
      </c>
      <c r="I872" s="135"/>
      <c r="J872" s="39"/>
      <c r="K872" s="39"/>
      <c r="L872" s="39"/>
      <c r="M872" s="39">
        <v>500000</v>
      </c>
    </row>
    <row r="873" spans="1:13" s="92" customFormat="1" ht="18" customHeight="1">
      <c r="A873" s="133"/>
      <c r="B873" s="127"/>
      <c r="C873" s="127"/>
      <c r="D873" s="127" t="s">
        <v>291</v>
      </c>
      <c r="E873" s="127"/>
      <c r="F873" s="128"/>
      <c r="G873" s="129"/>
      <c r="H873" s="130" t="s">
        <v>294</v>
      </c>
      <c r="I873" s="135">
        <v>1990000</v>
      </c>
      <c r="J873" s="39"/>
      <c r="K873" s="39"/>
      <c r="L873" s="39"/>
      <c r="M873" s="39">
        <v>1600000</v>
      </c>
    </row>
    <row r="874" spans="1:13" s="92" customFormat="1" ht="18" customHeight="1">
      <c r="A874" s="133"/>
      <c r="B874" s="127"/>
      <c r="C874" s="127"/>
      <c r="D874" s="127" t="s">
        <v>409</v>
      </c>
      <c r="E874" s="127"/>
      <c r="F874" s="128"/>
      <c r="G874" s="129" t="s">
        <v>289</v>
      </c>
      <c r="H874" s="130" t="s">
        <v>290</v>
      </c>
      <c r="I874" s="135"/>
      <c r="J874" s="39">
        <v>0</v>
      </c>
      <c r="K874" s="39">
        <f>60000-J874</f>
        <v>60000</v>
      </c>
      <c r="L874" s="39">
        <f>SUM(K874+J874)</f>
        <v>60000</v>
      </c>
      <c r="M874" s="39">
        <v>0</v>
      </c>
    </row>
    <row r="875" spans="1:13" s="103" customFormat="1" ht="20.100000000000001" customHeight="1">
      <c r="A875" s="139"/>
      <c r="B875" s="140"/>
      <c r="C875" s="140"/>
      <c r="D875" s="140" t="s">
        <v>245</v>
      </c>
      <c r="E875" s="140"/>
      <c r="F875" s="141"/>
      <c r="G875" s="142"/>
      <c r="H875" s="169"/>
      <c r="I875" s="143">
        <f>SUM(I867:I874)</f>
        <v>4487817.5600000005</v>
      </c>
      <c r="J875" s="143">
        <f t="shared" ref="J875:M875" si="62">SUM(J867:J874)</f>
        <v>0</v>
      </c>
      <c r="K875" s="143">
        <f t="shared" si="62"/>
        <v>1820000</v>
      </c>
      <c r="L875" s="143">
        <f t="shared" si="62"/>
        <v>1820000</v>
      </c>
      <c r="M875" s="143">
        <f t="shared" si="62"/>
        <v>2165000</v>
      </c>
    </row>
    <row r="876" spans="1:13" s="33" customFormat="1" ht="18" customHeight="1">
      <c r="A876" s="139"/>
      <c r="B876" s="140"/>
      <c r="C876" s="140"/>
      <c r="D876" s="140"/>
      <c r="E876" s="140"/>
      <c r="F876" s="141"/>
      <c r="G876" s="142"/>
      <c r="H876" s="169"/>
      <c r="I876" s="143"/>
      <c r="J876" s="46"/>
      <c r="K876" s="46"/>
      <c r="L876" s="46"/>
      <c r="M876" s="46"/>
    </row>
    <row r="877" spans="1:13" s="92" customFormat="1" ht="15" customHeight="1">
      <c r="A877" s="146" t="s">
        <v>187</v>
      </c>
      <c r="B877" s="148"/>
      <c r="C877" s="148"/>
      <c r="D877" s="148"/>
      <c r="E877" s="148"/>
      <c r="F877" s="149"/>
      <c r="G877" s="166"/>
      <c r="H877" s="170"/>
      <c r="I877" s="152">
        <f>SUM(I875+I865+I852)</f>
        <v>9872684.2100000009</v>
      </c>
      <c r="J877" s="152">
        <f>SUM(J875+J865+J852)</f>
        <v>2201715.5099999998</v>
      </c>
      <c r="K877" s="152">
        <f>SUM(K875+K865+K852)</f>
        <v>6299265.04</v>
      </c>
      <c r="L877" s="152">
        <f>SUM(L875+L865+L852)</f>
        <v>8500980.5500000007</v>
      </c>
      <c r="M877" s="152">
        <f>SUM(M875+M865+M852)</f>
        <v>8735969</v>
      </c>
    </row>
    <row r="878" spans="1:13" s="92" customFormat="1" ht="15" customHeight="1">
      <c r="A878" s="100"/>
      <c r="B878" s="100"/>
      <c r="C878" s="100"/>
      <c r="D878" s="100"/>
      <c r="E878" s="100"/>
      <c r="F878" s="100"/>
      <c r="G878" s="198"/>
      <c r="H878" s="227"/>
      <c r="I878" s="228"/>
      <c r="J878" s="228"/>
      <c r="K878" s="228"/>
      <c r="L878" s="228"/>
      <c r="M878" s="228"/>
    </row>
    <row r="879" spans="1:13" s="92" customFormat="1" ht="15" customHeight="1">
      <c r="A879" s="241" t="s">
        <v>490</v>
      </c>
      <c r="B879" s="241"/>
      <c r="C879" s="241"/>
      <c r="D879" s="241"/>
      <c r="E879" s="241"/>
      <c r="F879" s="241"/>
      <c r="G879" s="241"/>
      <c r="H879" s="241"/>
      <c r="I879" s="241"/>
      <c r="J879" s="241"/>
      <c r="K879" s="241"/>
      <c r="L879" s="241"/>
      <c r="M879" s="241"/>
    </row>
    <row r="880" spans="1:13" s="92" customFormat="1" ht="15" customHeight="1">
      <c r="A880" s="93"/>
      <c r="B880" s="94"/>
      <c r="C880" s="93"/>
      <c r="D880" s="93"/>
      <c r="E880" s="93"/>
      <c r="F880" s="95"/>
      <c r="G880" s="93"/>
      <c r="H880" s="96"/>
      <c r="I880" s="96"/>
      <c r="K880" s="61"/>
      <c r="L880" s="61"/>
      <c r="M880" s="55"/>
    </row>
    <row r="881" spans="1:13" s="92" customFormat="1" ht="15" customHeight="1">
      <c r="A881" s="242" t="s">
        <v>491</v>
      </c>
      <c r="B881" s="242"/>
      <c r="D881" s="242"/>
      <c r="E881" s="242"/>
      <c r="G881" s="242"/>
      <c r="H881" s="242"/>
      <c r="I881" s="242" t="s">
        <v>492</v>
      </c>
      <c r="J881" s="242"/>
      <c r="K881" s="242"/>
      <c r="L881" s="242" t="s">
        <v>493</v>
      </c>
      <c r="M881" s="242"/>
    </row>
    <row r="882" spans="1:13" s="92" customFormat="1" ht="15" customHeight="1">
      <c r="A882" s="93"/>
      <c r="B882" s="94"/>
      <c r="D882" s="93"/>
      <c r="E882" s="93"/>
      <c r="G882" s="93"/>
      <c r="I882" s="93"/>
      <c r="J882" s="96"/>
      <c r="K882" s="60"/>
      <c r="L882" s="95"/>
      <c r="M882" s="61"/>
    </row>
    <row r="883" spans="1:13" s="92" customFormat="1" ht="15" customHeight="1">
      <c r="A883" s="404" t="s">
        <v>519</v>
      </c>
      <c r="B883" s="404"/>
      <c r="C883" s="404"/>
      <c r="D883" s="404"/>
      <c r="E883" s="404"/>
      <c r="F883" s="404"/>
      <c r="G883" s="94"/>
      <c r="H883" s="243"/>
      <c r="I883" s="404" t="s">
        <v>494</v>
      </c>
      <c r="J883" s="404"/>
      <c r="K883" s="58"/>
      <c r="L883" s="404" t="s">
        <v>328</v>
      </c>
      <c r="M883" s="404"/>
    </row>
    <row r="884" spans="1:13" s="92" customFormat="1" ht="15" customHeight="1">
      <c r="A884" s="405" t="s">
        <v>495</v>
      </c>
      <c r="B884" s="405"/>
      <c r="C884" s="405"/>
      <c r="D884" s="405"/>
      <c r="E884" s="405"/>
      <c r="F884" s="405"/>
      <c r="G884" s="15"/>
      <c r="H884" s="15"/>
      <c r="I884" s="406" t="s">
        <v>496</v>
      </c>
      <c r="J884" s="406"/>
      <c r="K884" s="15"/>
      <c r="L884" s="405" t="s">
        <v>497</v>
      </c>
      <c r="M884" s="405"/>
    </row>
    <row r="885" spans="1:13" s="92" customFormat="1" ht="15" customHeight="1">
      <c r="A885" s="100"/>
      <c r="B885" s="100"/>
      <c r="C885" s="100"/>
      <c r="D885" s="100"/>
      <c r="E885" s="100"/>
      <c r="F885" s="100"/>
      <c r="G885" s="198"/>
      <c r="H885" s="227"/>
      <c r="I885" s="228"/>
      <c r="J885" s="228"/>
      <c r="K885" s="228"/>
      <c r="L885" s="228"/>
      <c r="M885" s="228"/>
    </row>
    <row r="886" spans="1:13" s="81" customFormat="1" ht="15" customHeight="1">
      <c r="A886" s="399" t="s">
        <v>481</v>
      </c>
      <c r="B886" s="399"/>
      <c r="C886" s="399"/>
      <c r="D886" s="399"/>
      <c r="E886" s="399"/>
      <c r="F886" s="399"/>
      <c r="G886" s="399"/>
      <c r="H886" s="399"/>
      <c r="I886" s="399"/>
      <c r="J886" s="399"/>
      <c r="K886" s="399"/>
      <c r="L886" s="399"/>
      <c r="M886" s="399"/>
    </row>
    <row r="887" spans="1:13" s="81" customFormat="1" ht="15" customHeight="1">
      <c r="A887" s="126"/>
      <c r="B887" s="126"/>
      <c r="C887" s="126"/>
      <c r="D887" s="126"/>
      <c r="E887" s="126"/>
      <c r="F887" s="126"/>
      <c r="G887" s="126"/>
      <c r="H887" s="126"/>
      <c r="I887" s="126"/>
      <c r="J887" s="126"/>
      <c r="K887" s="126"/>
      <c r="L887" s="126"/>
      <c r="M887" s="126"/>
    </row>
    <row r="888" spans="1:13" s="81" customFormat="1" ht="15" customHeight="1">
      <c r="A888" s="238" t="s">
        <v>482</v>
      </c>
      <c r="B888" s="238"/>
      <c r="C888" s="238"/>
      <c r="D888" s="239"/>
      <c r="E888" s="239"/>
      <c r="F888" s="238" t="s">
        <v>483</v>
      </c>
      <c r="G888" s="238"/>
      <c r="H888" s="238"/>
      <c r="I888" s="238"/>
      <c r="J888" s="238" t="s">
        <v>484</v>
      </c>
      <c r="K888" s="238" t="str">
        <f>$K$9</f>
        <v>2025</v>
      </c>
      <c r="L888" s="238"/>
      <c r="M888" s="238"/>
    </row>
    <row r="889" spans="1:13" s="81" customFormat="1" ht="15" customHeight="1">
      <c r="A889" s="238" t="s">
        <v>485</v>
      </c>
      <c r="B889" s="238"/>
      <c r="C889" s="238"/>
      <c r="D889" s="239"/>
      <c r="E889" s="238"/>
      <c r="F889" s="238" t="s">
        <v>486</v>
      </c>
      <c r="G889" s="238"/>
      <c r="H889" s="238"/>
      <c r="I889" s="238"/>
      <c r="J889" s="238" t="s">
        <v>487</v>
      </c>
      <c r="K889" s="94" t="s">
        <v>520</v>
      </c>
      <c r="L889" s="238"/>
      <c r="M889" s="238"/>
    </row>
    <row r="890" spans="1:13" s="81" customFormat="1" ht="15" customHeight="1">
      <c r="A890" s="238" t="s">
        <v>489</v>
      </c>
      <c r="B890" s="238"/>
      <c r="C890" s="238"/>
      <c r="D890" s="238"/>
      <c r="E890" s="238"/>
      <c r="F890" s="238"/>
      <c r="G890" s="238"/>
      <c r="H890" s="238"/>
      <c r="I890" s="238"/>
      <c r="J890" s="238"/>
      <c r="K890" s="238" t="s">
        <v>521</v>
      </c>
      <c r="L890" s="238"/>
      <c r="M890" s="238"/>
    </row>
    <row r="891" spans="1:13" s="33" customFormat="1" ht="18" customHeight="1" thickBot="1">
      <c r="A891" s="400"/>
      <c r="B891" s="400"/>
      <c r="C891" s="400"/>
      <c r="D891" s="400"/>
      <c r="E891" s="400"/>
      <c r="F891" s="400"/>
      <c r="G891" s="400"/>
      <c r="H891" s="400"/>
      <c r="I891" s="400"/>
      <c r="J891" s="400"/>
      <c r="K891" s="400"/>
      <c r="L891" s="400"/>
      <c r="M891" s="400"/>
    </row>
    <row r="892" spans="1:13" ht="18" customHeight="1">
      <c r="A892" s="192"/>
      <c r="B892" s="193"/>
      <c r="C892" s="193"/>
      <c r="D892" s="193"/>
      <c r="E892" s="193"/>
      <c r="F892" s="194"/>
      <c r="G892" s="195"/>
      <c r="H892" s="196"/>
      <c r="I892" s="196" t="s">
        <v>3</v>
      </c>
      <c r="J892" s="394" t="s">
        <v>188</v>
      </c>
      <c r="K892" s="395"/>
      <c r="L892" s="396"/>
      <c r="M892" s="197" t="s">
        <v>4</v>
      </c>
    </row>
    <row r="893" spans="1:13" ht="18" customHeight="1">
      <c r="A893" s="388"/>
      <c r="B893" s="389"/>
      <c r="C893" s="389"/>
      <c r="D893" s="389"/>
      <c r="E893" s="389"/>
      <c r="F893" s="390"/>
      <c r="G893" s="199"/>
      <c r="H893" s="200"/>
      <c r="I893" s="200">
        <v>2023</v>
      </c>
      <c r="J893" s="200" t="s">
        <v>137</v>
      </c>
      <c r="K893" s="200" t="s">
        <v>138</v>
      </c>
      <c r="L893" s="200">
        <v>2024</v>
      </c>
      <c r="M893" s="201">
        <v>2025</v>
      </c>
    </row>
    <row r="894" spans="1:13" ht="18" customHeight="1">
      <c r="A894" s="388" t="s">
        <v>8</v>
      </c>
      <c r="B894" s="389"/>
      <c r="C894" s="389"/>
      <c r="D894" s="389"/>
      <c r="E894" s="389"/>
      <c r="F894" s="390"/>
      <c r="G894" s="202"/>
      <c r="H894" s="203" t="s">
        <v>186</v>
      </c>
      <c r="I894" s="200" t="s">
        <v>311</v>
      </c>
      <c r="J894" s="200" t="s">
        <v>136</v>
      </c>
      <c r="K894" s="200" t="s">
        <v>139</v>
      </c>
      <c r="L894" s="200" t="s">
        <v>311</v>
      </c>
      <c r="M894" s="201" t="s">
        <v>311</v>
      </c>
    </row>
    <row r="895" spans="1:13" ht="18" customHeight="1">
      <c r="A895" s="204"/>
      <c r="B895" s="99"/>
      <c r="C895" s="99"/>
      <c r="D895" s="99"/>
      <c r="E895" s="99"/>
      <c r="F895" s="205"/>
      <c r="G895" s="202"/>
      <c r="H895" s="200"/>
      <c r="I895" s="200" t="s">
        <v>136</v>
      </c>
      <c r="J895" s="200">
        <v>2024</v>
      </c>
      <c r="K895" s="200">
        <v>2024</v>
      </c>
      <c r="L895" s="200" t="s">
        <v>312</v>
      </c>
      <c r="M895" s="201" t="s">
        <v>140</v>
      </c>
    </row>
    <row r="896" spans="1:13" ht="18" customHeight="1" thickBot="1">
      <c r="A896" s="391"/>
      <c r="B896" s="392"/>
      <c r="C896" s="392"/>
      <c r="D896" s="392"/>
      <c r="E896" s="392"/>
      <c r="F896" s="393"/>
      <c r="G896" s="206"/>
      <c r="H896" s="207"/>
      <c r="I896" s="207"/>
      <c r="J896" s="207"/>
      <c r="K896" s="207"/>
      <c r="L896" s="207"/>
      <c r="M896" s="208"/>
    </row>
    <row r="897" spans="1:13" ht="18" customHeight="1">
      <c r="A897" s="209"/>
      <c r="B897" s="210" t="s">
        <v>51</v>
      </c>
      <c r="C897" s="211"/>
      <c r="D897" s="210"/>
      <c r="E897" s="210"/>
      <c r="F897" s="212"/>
      <c r="G897" s="213"/>
      <c r="H897" s="225"/>
      <c r="I897" s="226"/>
      <c r="J897" s="62"/>
      <c r="K897" s="62"/>
      <c r="L897" s="62"/>
      <c r="M897" s="62"/>
    </row>
    <row r="898" spans="1:13" s="97" customFormat="1" ht="18" customHeight="1">
      <c r="A898" s="133"/>
      <c r="B898" s="127"/>
      <c r="C898" s="127" t="s">
        <v>102</v>
      </c>
      <c r="D898" s="127"/>
      <c r="E898" s="127"/>
      <c r="F898" s="128"/>
      <c r="G898" s="129"/>
      <c r="H898" s="167"/>
      <c r="I898" s="168"/>
      <c r="J898" s="63"/>
      <c r="K898" s="63"/>
      <c r="L898" s="63"/>
      <c r="M898" s="63"/>
    </row>
    <row r="899" spans="1:13" s="97" customFormat="1" ht="18" customHeight="1">
      <c r="A899" s="133"/>
      <c r="B899" s="127"/>
      <c r="C899" s="127"/>
      <c r="D899" s="127" t="s">
        <v>103</v>
      </c>
      <c r="E899" s="127"/>
      <c r="F899" s="128"/>
      <c r="G899" s="129" t="s">
        <v>156</v>
      </c>
      <c r="H899" s="130" t="s">
        <v>196</v>
      </c>
      <c r="I899" s="135">
        <v>5999756.4800000004</v>
      </c>
      <c r="J899" s="39">
        <v>3108019.41</v>
      </c>
      <c r="K899" s="39">
        <f>7435190-J899</f>
        <v>4327170.59</v>
      </c>
      <c r="L899" s="39">
        <f>SUM(K899+J899)</f>
        <v>7435190</v>
      </c>
      <c r="M899" s="39">
        <v>7775172</v>
      </c>
    </row>
    <row r="900" spans="1:13" s="97" customFormat="1" ht="18" customHeight="1">
      <c r="A900" s="133"/>
      <c r="B900" s="127"/>
      <c r="C900" s="127" t="s">
        <v>104</v>
      </c>
      <c r="D900" s="127"/>
      <c r="E900" s="127"/>
      <c r="F900" s="128"/>
      <c r="G900" s="129"/>
      <c r="H900" s="167"/>
      <c r="I900" s="135"/>
      <c r="J900" s="39"/>
      <c r="K900" s="39"/>
      <c r="L900" s="39"/>
      <c r="M900" s="39"/>
    </row>
    <row r="901" spans="1:13" s="97" customFormat="1" ht="18" customHeight="1">
      <c r="A901" s="133"/>
      <c r="B901" s="127"/>
      <c r="C901" s="127"/>
      <c r="D901" s="127" t="s">
        <v>105</v>
      </c>
      <c r="E901" s="127"/>
      <c r="F901" s="128"/>
      <c r="G901" s="129" t="s">
        <v>157</v>
      </c>
      <c r="H901" s="130" t="s">
        <v>197</v>
      </c>
      <c r="I901" s="135">
        <v>360000</v>
      </c>
      <c r="J901" s="39">
        <v>182000</v>
      </c>
      <c r="K901" s="39">
        <f>408000-J901</f>
        <v>226000</v>
      </c>
      <c r="L901" s="39">
        <f t="shared" ref="L901:L924" si="63">SUM(K901+J901)</f>
        <v>408000</v>
      </c>
      <c r="M901" s="39">
        <v>408000</v>
      </c>
    </row>
    <row r="902" spans="1:13" s="97" customFormat="1" ht="18" customHeight="1">
      <c r="A902" s="133"/>
      <c r="B902" s="127"/>
      <c r="C902" s="127"/>
      <c r="D902" s="127" t="s">
        <v>107</v>
      </c>
      <c r="E902" s="127"/>
      <c r="F902" s="128"/>
      <c r="G902" s="129" t="s">
        <v>158</v>
      </c>
      <c r="H902" s="130" t="s">
        <v>198</v>
      </c>
      <c r="I902" s="135">
        <v>76500</v>
      </c>
      <c r="J902" s="39">
        <v>43350</v>
      </c>
      <c r="K902" s="39">
        <f>86700-J902</f>
        <v>43350</v>
      </c>
      <c r="L902" s="39">
        <f t="shared" si="63"/>
        <v>86700</v>
      </c>
      <c r="M902" s="39">
        <v>86700</v>
      </c>
    </row>
    <row r="903" spans="1:13" s="97" customFormat="1" ht="18" customHeight="1">
      <c r="A903" s="133"/>
      <c r="B903" s="127"/>
      <c r="C903" s="127"/>
      <c r="D903" s="127" t="s">
        <v>106</v>
      </c>
      <c r="E903" s="127"/>
      <c r="F903" s="128"/>
      <c r="G903" s="129" t="s">
        <v>159</v>
      </c>
      <c r="H903" s="130" t="s">
        <v>199</v>
      </c>
      <c r="I903" s="135">
        <v>76500</v>
      </c>
      <c r="J903" s="39">
        <v>43350</v>
      </c>
      <c r="K903" s="39">
        <f>86700-J903</f>
        <v>43350</v>
      </c>
      <c r="L903" s="39">
        <f t="shared" si="63"/>
        <v>86700</v>
      </c>
      <c r="M903" s="39">
        <v>86700</v>
      </c>
    </row>
    <row r="904" spans="1:13" s="97" customFormat="1" ht="18" customHeight="1">
      <c r="A904" s="133"/>
      <c r="B904" s="127"/>
      <c r="C904" s="127"/>
      <c r="D904" s="127" t="s">
        <v>108</v>
      </c>
      <c r="E904" s="127"/>
      <c r="F904" s="128"/>
      <c r="G904" s="129" t="s">
        <v>160</v>
      </c>
      <c r="H904" s="130" t="s">
        <v>200</v>
      </c>
      <c r="I904" s="135">
        <v>90000</v>
      </c>
      <c r="J904" s="39">
        <v>105000</v>
      </c>
      <c r="K904" s="39">
        <f>119000-J904</f>
        <v>14000</v>
      </c>
      <c r="L904" s="39">
        <f t="shared" si="63"/>
        <v>119000</v>
      </c>
      <c r="M904" s="39">
        <v>119000</v>
      </c>
    </row>
    <row r="905" spans="1:13" s="97" customFormat="1" ht="18" customHeight="1">
      <c r="A905" s="133"/>
      <c r="B905" s="127"/>
      <c r="C905" s="127"/>
      <c r="D905" s="127" t="s">
        <v>109</v>
      </c>
      <c r="E905" s="127"/>
      <c r="F905" s="128"/>
      <c r="G905" s="129" t="s">
        <v>161</v>
      </c>
      <c r="H905" s="130" t="s">
        <v>217</v>
      </c>
      <c r="I905" s="135">
        <f>187900+19425</f>
        <v>207325</v>
      </c>
      <c r="J905" s="39">
        <v>78450</v>
      </c>
      <c r="K905" s="39">
        <f>285985.29-J905</f>
        <v>207535.28999999998</v>
      </c>
      <c r="L905" s="39">
        <f t="shared" si="63"/>
        <v>285985.28999999998</v>
      </c>
      <c r="M905" s="39">
        <v>285985.28999999998</v>
      </c>
    </row>
    <row r="906" spans="1:13" s="97" customFormat="1" ht="18" customHeight="1">
      <c r="A906" s="133"/>
      <c r="B906" s="127"/>
      <c r="C906" s="127"/>
      <c r="D906" s="127" t="s">
        <v>194</v>
      </c>
      <c r="E906" s="127"/>
      <c r="F906" s="128"/>
      <c r="G906" s="129" t="s">
        <v>162</v>
      </c>
      <c r="H906" s="130" t="s">
        <v>201</v>
      </c>
      <c r="I906" s="135">
        <v>75000</v>
      </c>
      <c r="J906" s="39"/>
      <c r="K906" s="39">
        <f>85000-J906</f>
        <v>85000</v>
      </c>
      <c r="L906" s="39">
        <f t="shared" si="63"/>
        <v>85000</v>
      </c>
      <c r="M906" s="39">
        <v>85000</v>
      </c>
    </row>
    <row r="907" spans="1:13" s="97" customFormat="1" ht="18" customHeight="1">
      <c r="A907" s="133"/>
      <c r="B907" s="127"/>
      <c r="C907" s="127"/>
      <c r="D907" s="127" t="s">
        <v>110</v>
      </c>
      <c r="E907" s="127"/>
      <c r="F907" s="128"/>
      <c r="G907" s="129" t="s">
        <v>92</v>
      </c>
      <c r="H907" s="130" t="s">
        <v>202</v>
      </c>
      <c r="I907" s="135">
        <v>15000</v>
      </c>
      <c r="J907" s="39">
        <v>5000</v>
      </c>
      <c r="K907" s="39">
        <f>15000-J907</f>
        <v>10000</v>
      </c>
      <c r="L907" s="39">
        <f t="shared" si="63"/>
        <v>15000</v>
      </c>
      <c r="M907" s="39">
        <v>20000</v>
      </c>
    </row>
    <row r="908" spans="1:13" s="97" customFormat="1" ht="18" customHeight="1">
      <c r="A908" s="133"/>
      <c r="B908" s="127"/>
      <c r="C908" s="127"/>
      <c r="D908" s="127" t="s">
        <v>354</v>
      </c>
      <c r="E908" s="127"/>
      <c r="F908" s="128"/>
      <c r="G908" s="129" t="s">
        <v>92</v>
      </c>
      <c r="H908" s="130" t="s">
        <v>202</v>
      </c>
      <c r="I908" s="135"/>
      <c r="J908" s="39"/>
      <c r="K908" s="39">
        <f>0-J908</f>
        <v>0</v>
      </c>
      <c r="L908" s="39">
        <f t="shared" si="63"/>
        <v>0</v>
      </c>
      <c r="M908" s="39">
        <v>0</v>
      </c>
    </row>
    <row r="909" spans="1:13" s="97" customFormat="1" ht="18" customHeight="1">
      <c r="A909" s="133"/>
      <c r="B909" s="127"/>
      <c r="C909" s="127"/>
      <c r="D909" s="127" t="s">
        <v>475</v>
      </c>
      <c r="E909" s="127"/>
      <c r="F909" s="128"/>
      <c r="G909" s="129"/>
      <c r="H909" s="130" t="s">
        <v>202</v>
      </c>
      <c r="I909" s="135"/>
      <c r="J909" s="39"/>
      <c r="K909" s="39">
        <f>0-J909</f>
        <v>0</v>
      </c>
      <c r="L909" s="39">
        <f t="shared" si="63"/>
        <v>0</v>
      </c>
      <c r="M909" s="39">
        <v>119000</v>
      </c>
    </row>
    <row r="910" spans="1:13" s="97" customFormat="1" ht="18" customHeight="1">
      <c r="A910" s="133"/>
      <c r="B910" s="127"/>
      <c r="C910" s="127"/>
      <c r="D910" s="127" t="s">
        <v>111</v>
      </c>
      <c r="E910" s="127"/>
      <c r="F910" s="128"/>
      <c r="G910" s="129" t="s">
        <v>163</v>
      </c>
      <c r="H910" s="130" t="s">
        <v>218</v>
      </c>
      <c r="I910" s="135">
        <f>483429+51874.25</f>
        <v>535303.25</v>
      </c>
      <c r="J910" s="39">
        <v>206056.25</v>
      </c>
      <c r="K910" s="39">
        <f>546687-J910</f>
        <v>340630.75</v>
      </c>
      <c r="L910" s="39">
        <f t="shared" si="63"/>
        <v>546687</v>
      </c>
      <c r="M910" s="39">
        <v>546687</v>
      </c>
    </row>
    <row r="911" spans="1:13" s="97" customFormat="1" ht="18" customHeight="1">
      <c r="A911" s="133"/>
      <c r="B911" s="127"/>
      <c r="C911" s="127"/>
      <c r="D911" s="127" t="s">
        <v>112</v>
      </c>
      <c r="E911" s="127"/>
      <c r="F911" s="128"/>
      <c r="G911" s="129" t="s">
        <v>165</v>
      </c>
      <c r="H911" s="130" t="s">
        <v>203</v>
      </c>
      <c r="I911" s="135">
        <v>75000</v>
      </c>
      <c r="J911" s="39"/>
      <c r="K911" s="39">
        <f>85000-J911</f>
        <v>85000</v>
      </c>
      <c r="L911" s="39">
        <f t="shared" si="63"/>
        <v>85000</v>
      </c>
      <c r="M911" s="39">
        <v>85000</v>
      </c>
    </row>
    <row r="912" spans="1:13" s="97" customFormat="1" ht="18" customHeight="1">
      <c r="A912" s="133"/>
      <c r="B912" s="127"/>
      <c r="C912" s="127"/>
      <c r="D912" s="127" t="s">
        <v>252</v>
      </c>
      <c r="E912" s="127"/>
      <c r="F912" s="127"/>
      <c r="G912" s="138" t="s">
        <v>92</v>
      </c>
      <c r="H912" s="130" t="s">
        <v>202</v>
      </c>
      <c r="I912" s="135">
        <v>497687</v>
      </c>
      <c r="J912" s="39">
        <v>500414</v>
      </c>
      <c r="K912" s="39">
        <f>607730-J912</f>
        <v>107316</v>
      </c>
      <c r="L912" s="39">
        <f t="shared" si="63"/>
        <v>607730</v>
      </c>
      <c r="M912" s="39">
        <v>637845</v>
      </c>
    </row>
    <row r="913" spans="1:13" s="97" customFormat="1" ht="18" customHeight="1">
      <c r="A913" s="133"/>
      <c r="B913" s="127"/>
      <c r="C913" s="127"/>
      <c r="D913" s="127" t="s">
        <v>113</v>
      </c>
      <c r="E913" s="127"/>
      <c r="F913" s="128"/>
      <c r="G913" s="129" t="s">
        <v>166</v>
      </c>
      <c r="H913" s="130" t="s">
        <v>204</v>
      </c>
      <c r="I913" s="135">
        <v>500210</v>
      </c>
      <c r="J913" s="39"/>
      <c r="K913" s="39">
        <f>637554-J913</f>
        <v>637554</v>
      </c>
      <c r="L913" s="39">
        <f t="shared" si="63"/>
        <v>637554</v>
      </c>
      <c r="M913" s="39">
        <v>668615</v>
      </c>
    </row>
    <row r="914" spans="1:13" s="97" customFormat="1" ht="18" customHeight="1">
      <c r="A914" s="133"/>
      <c r="B914" s="127"/>
      <c r="C914" s="127"/>
      <c r="D914" s="127" t="s">
        <v>190</v>
      </c>
      <c r="E914" s="127"/>
      <c r="F914" s="128"/>
      <c r="G914" s="129" t="s">
        <v>167</v>
      </c>
      <c r="H914" s="130" t="s">
        <v>205</v>
      </c>
      <c r="I914" s="135">
        <f>712716.36+4796.04</f>
        <v>717512.4</v>
      </c>
      <c r="J914" s="39">
        <v>303251.43</v>
      </c>
      <c r="K914" s="39">
        <f>894000-J914</f>
        <v>590748.57000000007</v>
      </c>
      <c r="L914" s="39">
        <f t="shared" si="63"/>
        <v>894000</v>
      </c>
      <c r="M914" s="39">
        <v>934000</v>
      </c>
    </row>
    <row r="915" spans="1:13" s="97" customFormat="1" ht="18" customHeight="1">
      <c r="A915" s="133"/>
      <c r="B915" s="127"/>
      <c r="C915" s="127"/>
      <c r="D915" s="127" t="s">
        <v>114</v>
      </c>
      <c r="E915" s="127"/>
      <c r="F915" s="128"/>
      <c r="G915" s="129" t="s">
        <v>168</v>
      </c>
      <c r="H915" s="130" t="s">
        <v>206</v>
      </c>
      <c r="I915" s="135">
        <f>16500+1500</f>
        <v>18000</v>
      </c>
      <c r="J915" s="39">
        <v>13700</v>
      </c>
      <c r="K915" s="39">
        <f>40800-J915</f>
        <v>27100</v>
      </c>
      <c r="L915" s="39">
        <f t="shared" si="63"/>
        <v>40800</v>
      </c>
      <c r="M915" s="39">
        <v>40800</v>
      </c>
    </row>
    <row r="916" spans="1:13" s="97" customFormat="1" ht="18" customHeight="1">
      <c r="A916" s="133"/>
      <c r="B916" s="127"/>
      <c r="C916" s="127"/>
      <c r="D916" s="127" t="s">
        <v>115</v>
      </c>
      <c r="E916" s="127"/>
      <c r="F916" s="128"/>
      <c r="G916" s="129" t="s">
        <v>169</v>
      </c>
      <c r="H916" s="130" t="s">
        <v>207</v>
      </c>
      <c r="I916" s="135">
        <v>113110.9</v>
      </c>
      <c r="J916" s="39">
        <v>64163.19</v>
      </c>
      <c r="K916" s="39">
        <f>187000-J916</f>
        <v>122836.81</v>
      </c>
      <c r="L916" s="39">
        <f t="shared" si="63"/>
        <v>187000</v>
      </c>
      <c r="M916" s="39">
        <v>195000</v>
      </c>
    </row>
    <row r="917" spans="1:13" s="97" customFormat="1" ht="18" customHeight="1">
      <c r="A917" s="133"/>
      <c r="B917" s="127"/>
      <c r="C917" s="127"/>
      <c r="D917" s="127" t="s">
        <v>189</v>
      </c>
      <c r="E917" s="127"/>
      <c r="F917" s="128"/>
      <c r="G917" s="129" t="s">
        <v>170</v>
      </c>
      <c r="H917" s="130" t="s">
        <v>208</v>
      </c>
      <c r="I917" s="135">
        <v>18000</v>
      </c>
      <c r="J917" s="39">
        <v>7600</v>
      </c>
      <c r="K917" s="39">
        <f>20400-J917</f>
        <v>12800</v>
      </c>
      <c r="L917" s="39">
        <f t="shared" si="63"/>
        <v>20400</v>
      </c>
      <c r="M917" s="39">
        <v>20400</v>
      </c>
    </row>
    <row r="918" spans="1:13" s="97" customFormat="1" ht="18" customHeight="1">
      <c r="A918" s="133"/>
      <c r="B918" s="127"/>
      <c r="C918" s="127"/>
      <c r="D918" s="127" t="s">
        <v>54</v>
      </c>
      <c r="E918" s="127"/>
      <c r="F918" s="128"/>
      <c r="G918" s="129"/>
      <c r="H918" s="130" t="s">
        <v>209</v>
      </c>
      <c r="I918" s="135"/>
      <c r="J918" s="39"/>
      <c r="K918" s="39"/>
      <c r="L918" s="39"/>
      <c r="M918" s="39">
        <v>150000</v>
      </c>
    </row>
    <row r="919" spans="1:13" s="97" customFormat="1" ht="18" customHeight="1">
      <c r="A919" s="133"/>
      <c r="B919" s="127"/>
      <c r="C919" s="127"/>
      <c r="D919" s="127" t="s">
        <v>117</v>
      </c>
      <c r="E919" s="127"/>
      <c r="F919" s="128"/>
      <c r="G919" s="129" t="s">
        <v>67</v>
      </c>
      <c r="H919" s="130" t="s">
        <v>220</v>
      </c>
      <c r="I919" s="135"/>
      <c r="J919" s="39">
        <v>437279.5</v>
      </c>
      <c r="K919" s="39">
        <f>437279.5-J919</f>
        <v>0</v>
      </c>
      <c r="L919" s="39">
        <f t="shared" si="63"/>
        <v>437279.5</v>
      </c>
      <c r="M919" s="39">
        <v>0</v>
      </c>
    </row>
    <row r="920" spans="1:13" s="97" customFormat="1" ht="18" customHeight="1">
      <c r="A920" s="133"/>
      <c r="B920" s="127"/>
      <c r="C920" s="127"/>
      <c r="D920" s="127" t="s">
        <v>343</v>
      </c>
      <c r="E920" s="127"/>
      <c r="F920" s="128"/>
      <c r="G920" s="129"/>
      <c r="H920" s="130" t="s">
        <v>220</v>
      </c>
      <c r="I920" s="135">
        <v>300000</v>
      </c>
      <c r="J920" s="39"/>
      <c r="K920" s="39">
        <f>0-J920</f>
        <v>0</v>
      </c>
      <c r="L920" s="39">
        <f t="shared" si="63"/>
        <v>0</v>
      </c>
      <c r="M920" s="39">
        <v>0</v>
      </c>
    </row>
    <row r="921" spans="1:13" ht="18" customHeight="1">
      <c r="A921" s="133"/>
      <c r="B921" s="127"/>
      <c r="C921" s="127"/>
      <c r="D921" s="191" t="s">
        <v>423</v>
      </c>
      <c r="E921" s="127"/>
      <c r="F921" s="128"/>
      <c r="G921" s="129"/>
      <c r="H921" s="130" t="s">
        <v>220</v>
      </c>
      <c r="I921" s="135">
        <v>450000</v>
      </c>
      <c r="J921" s="39"/>
      <c r="K921" s="39"/>
      <c r="L921" s="39"/>
      <c r="M921" s="39"/>
    </row>
    <row r="922" spans="1:13" ht="18" customHeight="1">
      <c r="A922" s="133"/>
      <c r="B922" s="127"/>
      <c r="C922" s="127"/>
      <c r="D922" s="127" t="s">
        <v>116</v>
      </c>
      <c r="E922" s="127"/>
      <c r="F922" s="128"/>
      <c r="G922" s="129" t="s">
        <v>172</v>
      </c>
      <c r="H922" s="130" t="s">
        <v>209</v>
      </c>
      <c r="I922" s="135">
        <v>22750</v>
      </c>
      <c r="J922" s="39">
        <v>0</v>
      </c>
      <c r="K922" s="39">
        <f>25000-J922</f>
        <v>25000</v>
      </c>
      <c r="L922" s="39">
        <f t="shared" si="63"/>
        <v>25000</v>
      </c>
      <c r="M922" s="39">
        <v>35000</v>
      </c>
    </row>
    <row r="923" spans="1:13" ht="18" customHeight="1">
      <c r="A923" s="133"/>
      <c r="B923" s="127"/>
      <c r="C923" s="127"/>
      <c r="D923" s="127" t="s">
        <v>343</v>
      </c>
      <c r="E923" s="127"/>
      <c r="F923" s="128"/>
      <c r="G923" s="129"/>
      <c r="H923" s="130" t="s">
        <v>220</v>
      </c>
      <c r="I923" s="135"/>
      <c r="J923" s="39"/>
      <c r="K923" s="39">
        <f>340000-J923</f>
        <v>340000</v>
      </c>
      <c r="L923" s="39">
        <f t="shared" si="63"/>
        <v>340000</v>
      </c>
      <c r="M923" s="39"/>
    </row>
    <row r="924" spans="1:13" ht="18" customHeight="1">
      <c r="A924" s="133"/>
      <c r="B924" s="127"/>
      <c r="C924" s="127"/>
      <c r="D924" s="191" t="s">
        <v>423</v>
      </c>
      <c r="E924" s="127"/>
      <c r="F924" s="128"/>
      <c r="G924" s="129"/>
      <c r="H924" s="130" t="s">
        <v>220</v>
      </c>
      <c r="I924" s="135"/>
      <c r="J924" s="39"/>
      <c r="K924" s="39">
        <f>510000-J924</f>
        <v>510000</v>
      </c>
      <c r="L924" s="39">
        <f t="shared" si="63"/>
        <v>510000</v>
      </c>
      <c r="M924" s="39"/>
    </row>
    <row r="925" spans="1:13" s="97" customFormat="1" ht="18" customHeight="1">
      <c r="A925" s="139"/>
      <c r="B925" s="140"/>
      <c r="C925" s="140"/>
      <c r="D925" s="140" t="s">
        <v>53</v>
      </c>
      <c r="E925" s="140"/>
      <c r="F925" s="141"/>
      <c r="G925" s="142"/>
      <c r="H925" s="169"/>
      <c r="I925" s="143">
        <f>SUM(I899:I924)</f>
        <v>10147655.030000001</v>
      </c>
      <c r="J925" s="143">
        <f t="shared" ref="J925:M925" si="64">SUM(J899:J924)</f>
        <v>5097633.78</v>
      </c>
      <c r="K925" s="143">
        <f t="shared" si="64"/>
        <v>7755392.0099999998</v>
      </c>
      <c r="L925" s="143">
        <f t="shared" si="64"/>
        <v>12853025.789999999</v>
      </c>
      <c r="M925" s="143">
        <f t="shared" si="64"/>
        <v>12298904.289999999</v>
      </c>
    </row>
    <row r="926" spans="1:13" s="97" customFormat="1" ht="18" customHeight="1">
      <c r="A926" s="133"/>
      <c r="B926" s="127" t="s">
        <v>118</v>
      </c>
      <c r="C926" s="127"/>
      <c r="D926" s="127"/>
      <c r="E926" s="127"/>
      <c r="F926" s="128"/>
      <c r="G926" s="129"/>
      <c r="H926" s="167"/>
      <c r="I926" s="135"/>
      <c r="J926" s="39"/>
      <c r="K926" s="39"/>
      <c r="L926" s="39"/>
      <c r="M926" s="39"/>
    </row>
    <row r="927" spans="1:13" s="97" customFormat="1" ht="18" customHeight="1">
      <c r="A927" s="133"/>
      <c r="B927" s="127"/>
      <c r="C927" s="127"/>
      <c r="D927" s="127" t="s">
        <v>119</v>
      </c>
      <c r="E927" s="127"/>
      <c r="F927" s="128"/>
      <c r="G927" s="129" t="s">
        <v>60</v>
      </c>
      <c r="H927" s="130" t="s">
        <v>210</v>
      </c>
      <c r="I927" s="135">
        <v>165078</v>
      </c>
      <c r="J927" s="39">
        <v>30240</v>
      </c>
      <c r="K927" s="39">
        <f>210000-J927</f>
        <v>179760</v>
      </c>
      <c r="L927" s="39">
        <f t="shared" ref="L927:L936" si="65">SUM(K927+J927)</f>
        <v>210000</v>
      </c>
      <c r="M927" s="39">
        <v>210000</v>
      </c>
    </row>
    <row r="928" spans="1:13" s="97" customFormat="1" ht="18" customHeight="1">
      <c r="A928" s="133"/>
      <c r="B928" s="127"/>
      <c r="C928" s="127"/>
      <c r="D928" s="127" t="s">
        <v>91</v>
      </c>
      <c r="E928" s="127"/>
      <c r="F928" s="128"/>
      <c r="G928" s="129" t="s">
        <v>61</v>
      </c>
      <c r="H928" s="130" t="s">
        <v>211</v>
      </c>
      <c r="I928" s="135">
        <v>93695.66</v>
      </c>
      <c r="J928" s="39">
        <v>16000</v>
      </c>
      <c r="K928" s="39">
        <f>112000-J928</f>
        <v>96000</v>
      </c>
      <c r="L928" s="39">
        <f t="shared" si="65"/>
        <v>112000</v>
      </c>
      <c r="M928" s="39">
        <v>112000</v>
      </c>
    </row>
    <row r="929" spans="1:13" s="97" customFormat="1" ht="18" customHeight="1">
      <c r="A929" s="133"/>
      <c r="B929" s="127"/>
      <c r="C929" s="127"/>
      <c r="D929" s="127" t="s">
        <v>58</v>
      </c>
      <c r="E929" s="127"/>
      <c r="F929" s="128"/>
      <c r="G929" s="129" t="s">
        <v>63</v>
      </c>
      <c r="H929" s="130" t="s">
        <v>212</v>
      </c>
      <c r="I929" s="135">
        <v>112705</v>
      </c>
      <c r="J929" s="39">
        <v>1897.11</v>
      </c>
      <c r="K929" s="39">
        <f>89679.99-J929</f>
        <v>87782.88</v>
      </c>
      <c r="L929" s="39">
        <f t="shared" si="65"/>
        <v>89679.99</v>
      </c>
      <c r="M929" s="39">
        <v>136000</v>
      </c>
    </row>
    <row r="930" spans="1:13" s="97" customFormat="1" ht="18" customHeight="1">
      <c r="A930" s="133"/>
      <c r="B930" s="127"/>
      <c r="C930" s="127"/>
      <c r="D930" s="127" t="s">
        <v>121</v>
      </c>
      <c r="E930" s="127"/>
      <c r="F930" s="128"/>
      <c r="G930" s="129" t="s">
        <v>62</v>
      </c>
      <c r="H930" s="130" t="s">
        <v>222</v>
      </c>
      <c r="I930" s="135">
        <v>1399631.5</v>
      </c>
      <c r="J930" s="39">
        <v>1024340.5</v>
      </c>
      <c r="K930" s="39">
        <f>1500000-J930</f>
        <v>475659.5</v>
      </c>
      <c r="L930" s="39">
        <f t="shared" si="65"/>
        <v>1500000</v>
      </c>
      <c r="M930" s="39">
        <v>1500000</v>
      </c>
    </row>
    <row r="931" spans="1:13" s="97" customFormat="1" ht="18" customHeight="1">
      <c r="A931" s="133"/>
      <c r="B931" s="127"/>
      <c r="C931" s="127"/>
      <c r="D931" s="127" t="s">
        <v>122</v>
      </c>
      <c r="E931" s="127"/>
      <c r="F931" s="128"/>
      <c r="G931" s="129" t="s">
        <v>68</v>
      </c>
      <c r="H931" s="130" t="s">
        <v>223</v>
      </c>
      <c r="I931" s="135">
        <v>61206</v>
      </c>
      <c r="J931" s="39"/>
      <c r="K931" s="39">
        <f>16000-J931</f>
        <v>16000</v>
      </c>
      <c r="L931" s="39">
        <f t="shared" si="65"/>
        <v>16000</v>
      </c>
      <c r="M931" s="39">
        <v>216000</v>
      </c>
    </row>
    <row r="932" spans="1:13" s="97" customFormat="1" ht="18" customHeight="1">
      <c r="A932" s="133"/>
      <c r="B932" s="127"/>
      <c r="C932" s="127"/>
      <c r="D932" s="127" t="s">
        <v>365</v>
      </c>
      <c r="E932" s="127"/>
      <c r="F932" s="128"/>
      <c r="G932" s="129"/>
      <c r="H932" s="130"/>
      <c r="I932" s="135">
        <f>3090307+523887</f>
        <v>3614194</v>
      </c>
      <c r="J932" s="39">
        <v>2444658</v>
      </c>
      <c r="K932" s="39">
        <f>4000000-J932</f>
        <v>1555342</v>
      </c>
      <c r="L932" s="39">
        <f t="shared" si="65"/>
        <v>4000000</v>
      </c>
      <c r="M932" s="39">
        <v>4000000</v>
      </c>
    </row>
    <row r="933" spans="1:13" s="97" customFormat="1" ht="18" customHeight="1">
      <c r="A933" s="133"/>
      <c r="B933" s="127"/>
      <c r="C933" s="127"/>
      <c r="D933" s="127" t="s">
        <v>125</v>
      </c>
      <c r="E933" s="127"/>
      <c r="F933" s="128"/>
      <c r="G933" s="129" t="s">
        <v>64</v>
      </c>
      <c r="H933" s="130" t="s">
        <v>214</v>
      </c>
      <c r="I933" s="135">
        <v>36000</v>
      </c>
      <c r="J933" s="39">
        <v>18000</v>
      </c>
      <c r="K933" s="39">
        <f>36000-J933</f>
        <v>18000</v>
      </c>
      <c r="L933" s="39">
        <f t="shared" si="65"/>
        <v>36000</v>
      </c>
      <c r="M933" s="39">
        <v>24000</v>
      </c>
    </row>
    <row r="934" spans="1:13" s="97" customFormat="1" ht="18" customHeight="1">
      <c r="A934" s="133"/>
      <c r="B934" s="127"/>
      <c r="C934" s="127"/>
      <c r="D934" s="127" t="s">
        <v>304</v>
      </c>
      <c r="E934" s="127"/>
      <c r="F934" s="128"/>
      <c r="G934" s="129" t="s">
        <v>65</v>
      </c>
      <c r="H934" s="130" t="s">
        <v>215</v>
      </c>
      <c r="I934" s="135">
        <v>14600</v>
      </c>
      <c r="J934" s="39">
        <v>13600</v>
      </c>
      <c r="K934" s="39">
        <f>16000-J934</f>
        <v>2400</v>
      </c>
      <c r="L934" s="39">
        <f t="shared" si="65"/>
        <v>16000</v>
      </c>
      <c r="M934" s="39">
        <v>16000</v>
      </c>
    </row>
    <row r="935" spans="1:13" ht="18" customHeight="1">
      <c r="A935" s="133"/>
      <c r="B935" s="127"/>
      <c r="C935" s="127"/>
      <c r="D935" s="127" t="s">
        <v>131</v>
      </c>
      <c r="E935" s="127"/>
      <c r="F935" s="128"/>
      <c r="G935" s="129" t="s">
        <v>66</v>
      </c>
      <c r="H935" s="130" t="s">
        <v>216</v>
      </c>
      <c r="I935" s="135">
        <v>86790</v>
      </c>
      <c r="J935" s="39">
        <v>18250</v>
      </c>
      <c r="K935" s="39">
        <f>50000-J935</f>
        <v>31750</v>
      </c>
      <c r="L935" s="39">
        <f t="shared" si="65"/>
        <v>50000</v>
      </c>
      <c r="M935" s="39">
        <v>120000</v>
      </c>
    </row>
    <row r="936" spans="1:13" ht="18" customHeight="1">
      <c r="A936" s="133"/>
      <c r="B936" s="127"/>
      <c r="C936" s="127"/>
      <c r="D936" s="127" t="s">
        <v>366</v>
      </c>
      <c r="E936" s="127"/>
      <c r="F936" s="128"/>
      <c r="G936" s="129"/>
      <c r="H936" s="130" t="s">
        <v>216</v>
      </c>
      <c r="I936" s="135"/>
      <c r="J936" s="39"/>
      <c r="K936" s="39">
        <f>0-J936</f>
        <v>0</v>
      </c>
      <c r="L936" s="39">
        <f t="shared" si="65"/>
        <v>0</v>
      </c>
      <c r="M936" s="39">
        <v>0</v>
      </c>
    </row>
    <row r="937" spans="1:13" s="97" customFormat="1" ht="18" customHeight="1">
      <c r="A937" s="139"/>
      <c r="B937" s="140"/>
      <c r="C937" s="140"/>
      <c r="D937" s="140" t="s">
        <v>244</v>
      </c>
      <c r="E937" s="140"/>
      <c r="F937" s="141"/>
      <c r="G937" s="142"/>
      <c r="H937" s="169"/>
      <c r="I937" s="143">
        <f>SUM(I927:I936)</f>
        <v>5583900.1600000001</v>
      </c>
      <c r="J937" s="143">
        <f>SUM(J927:J936)</f>
        <v>3566985.6100000003</v>
      </c>
      <c r="K937" s="143">
        <f>SUM(K927:K936)</f>
        <v>2462694.38</v>
      </c>
      <c r="L937" s="143">
        <f>SUM(L927:L936)</f>
        <v>6029679.9900000002</v>
      </c>
      <c r="M937" s="143">
        <f>SUM(M927:M936)</f>
        <v>6334000</v>
      </c>
    </row>
    <row r="938" spans="1:13" s="97" customFormat="1" ht="18" customHeight="1">
      <c r="A938" s="133"/>
      <c r="B938" s="127" t="s">
        <v>132</v>
      </c>
      <c r="C938" s="127"/>
      <c r="D938" s="127"/>
      <c r="E938" s="127"/>
      <c r="F938" s="128"/>
      <c r="G938" s="129"/>
      <c r="H938" s="167"/>
      <c r="I938" s="135"/>
      <c r="J938" s="39"/>
      <c r="K938" s="39"/>
      <c r="L938" s="39"/>
      <c r="M938" s="39"/>
    </row>
    <row r="939" spans="1:13" s="97" customFormat="1" ht="18" customHeight="1">
      <c r="A939" s="133"/>
      <c r="B939" s="127"/>
      <c r="C939" s="127"/>
      <c r="D939" s="127" t="s">
        <v>195</v>
      </c>
      <c r="E939" s="127"/>
      <c r="F939" s="128"/>
      <c r="G939" s="129"/>
      <c r="H939" s="130" t="s">
        <v>356</v>
      </c>
      <c r="I939" s="135"/>
      <c r="J939" s="39">
        <v>0</v>
      </c>
      <c r="K939" s="39">
        <f>50000-J939</f>
        <v>50000</v>
      </c>
      <c r="L939" s="39">
        <f>SUM(K939+J939)</f>
        <v>50000</v>
      </c>
      <c r="M939" s="39">
        <v>0</v>
      </c>
    </row>
    <row r="940" spans="1:13" s="97" customFormat="1" ht="18" customHeight="1">
      <c r="A940" s="133"/>
      <c r="B940" s="127"/>
      <c r="C940" s="127"/>
      <c r="D940" s="127" t="s">
        <v>284</v>
      </c>
      <c r="E940" s="127"/>
      <c r="F940" s="128"/>
      <c r="G940" s="129" t="s">
        <v>287</v>
      </c>
      <c r="H940" s="130" t="s">
        <v>348</v>
      </c>
      <c r="I940" s="135"/>
      <c r="J940" s="39">
        <v>0</v>
      </c>
      <c r="K940" s="39">
        <f>70000-J940</f>
        <v>70000</v>
      </c>
      <c r="L940" s="39">
        <f>SUM(K940+J940)</f>
        <v>70000</v>
      </c>
      <c r="M940" s="39">
        <v>200000</v>
      </c>
    </row>
    <row r="941" spans="1:13" s="97" customFormat="1" ht="18" customHeight="1">
      <c r="A941" s="133"/>
      <c r="B941" s="127"/>
      <c r="C941" s="127"/>
      <c r="D941" s="127" t="s">
        <v>292</v>
      </c>
      <c r="E941" s="127"/>
      <c r="F941" s="128"/>
      <c r="G941" s="129"/>
      <c r="H941" s="130" t="s">
        <v>293</v>
      </c>
      <c r="I941" s="135">
        <v>0</v>
      </c>
      <c r="J941" s="39">
        <v>0</v>
      </c>
      <c r="K941" s="39">
        <f t="shared" ref="K941:K942" si="66">0-J941</f>
        <v>0</v>
      </c>
      <c r="L941" s="39">
        <f>SUM(K941+J941)</f>
        <v>0</v>
      </c>
      <c r="M941" s="39">
        <v>0</v>
      </c>
    </row>
    <row r="942" spans="1:13" s="97" customFormat="1" ht="18" customHeight="1">
      <c r="A942" s="133"/>
      <c r="B942" s="127"/>
      <c r="C942" s="127"/>
      <c r="D942" s="127" t="s">
        <v>288</v>
      </c>
      <c r="E942" s="127"/>
      <c r="F942" s="128"/>
      <c r="G942" s="129" t="s">
        <v>289</v>
      </c>
      <c r="H942" s="130" t="s">
        <v>290</v>
      </c>
      <c r="I942" s="135">
        <v>0</v>
      </c>
      <c r="J942" s="39">
        <v>0</v>
      </c>
      <c r="K942" s="39">
        <f t="shared" si="66"/>
        <v>0</v>
      </c>
      <c r="L942" s="39">
        <f>SUM(K942+J942)</f>
        <v>0</v>
      </c>
      <c r="M942" s="39">
        <v>0</v>
      </c>
    </row>
    <row r="943" spans="1:13" s="97" customFormat="1" ht="18" customHeight="1">
      <c r="A943" s="139"/>
      <c r="B943" s="140"/>
      <c r="C943" s="140"/>
      <c r="D943" s="140" t="s">
        <v>245</v>
      </c>
      <c r="E943" s="140"/>
      <c r="F943" s="141"/>
      <c r="G943" s="142"/>
      <c r="H943" s="169"/>
      <c r="I943" s="143">
        <f>SUM(I939:I942)</f>
        <v>0</v>
      </c>
      <c r="J943" s="143">
        <f>SUM(J939:J942)</f>
        <v>0</v>
      </c>
      <c r="K943" s="143">
        <f>SUM(K939:K942)</f>
        <v>120000</v>
      </c>
      <c r="L943" s="143">
        <f>SUM(L939:L942)</f>
        <v>120000</v>
      </c>
      <c r="M943" s="143">
        <f>SUM(M939:M942)</f>
        <v>200000</v>
      </c>
    </row>
    <row r="944" spans="1:13" s="97" customFormat="1" ht="18" customHeight="1">
      <c r="A944" s="139"/>
      <c r="B944" s="140"/>
      <c r="C944" s="140"/>
      <c r="D944" s="140"/>
      <c r="E944" s="140"/>
      <c r="F944" s="141"/>
      <c r="G944" s="142"/>
      <c r="H944" s="169"/>
      <c r="I944" s="143"/>
      <c r="J944" s="46"/>
      <c r="K944" s="46"/>
      <c r="L944" s="46"/>
      <c r="M944" s="46"/>
    </row>
    <row r="945" spans="1:13" s="92" customFormat="1" ht="18" customHeight="1">
      <c r="A945" s="146" t="s">
        <v>187</v>
      </c>
      <c r="B945" s="148"/>
      <c r="C945" s="148"/>
      <c r="D945" s="148"/>
      <c r="E945" s="148"/>
      <c r="F945" s="149"/>
      <c r="G945" s="166"/>
      <c r="H945" s="170"/>
      <c r="I945" s="152">
        <f>SUM(I943+I937+I925)</f>
        <v>15731555.190000001</v>
      </c>
      <c r="J945" s="152">
        <f>SUM(J943+J937+J925)</f>
        <v>8664619.3900000006</v>
      </c>
      <c r="K945" s="152">
        <f>SUM(K943+K937+K925)</f>
        <v>10338086.390000001</v>
      </c>
      <c r="L945" s="152">
        <f>SUM(L943+L937+L925)</f>
        <v>19002705.780000001</v>
      </c>
      <c r="M945" s="152">
        <f>SUM(M943+M937+M925)</f>
        <v>18832904.289999999</v>
      </c>
    </row>
    <row r="946" spans="1:13" s="92" customFormat="1" ht="18" customHeight="1">
      <c r="A946" s="100"/>
      <c r="B946" s="100"/>
      <c r="C946" s="100"/>
      <c r="D946" s="100"/>
      <c r="E946" s="100"/>
      <c r="F946" s="100"/>
      <c r="G946" s="198"/>
      <c r="H946" s="227"/>
      <c r="I946" s="228"/>
      <c r="J946" s="228"/>
      <c r="K946" s="228"/>
      <c r="L946" s="228"/>
      <c r="M946" s="228"/>
    </row>
    <row r="947" spans="1:13" s="92" customFormat="1" ht="18" customHeight="1">
      <c r="A947" s="100"/>
      <c r="B947" s="100"/>
      <c r="C947" s="100"/>
      <c r="D947" s="100"/>
      <c r="E947" s="100"/>
      <c r="F947" s="100"/>
      <c r="G947" s="198"/>
      <c r="H947" s="227"/>
      <c r="I947" s="228"/>
      <c r="J947" s="228"/>
      <c r="K947" s="228"/>
      <c r="L947" s="228"/>
      <c r="M947" s="228"/>
    </row>
    <row r="948" spans="1:13" s="103" customFormat="1" ht="20.100000000000001" customHeight="1">
      <c r="A948" s="241" t="s">
        <v>490</v>
      </c>
      <c r="B948" s="241"/>
      <c r="C948" s="241"/>
      <c r="D948" s="241"/>
      <c r="E948" s="241"/>
      <c r="F948" s="241"/>
      <c r="G948" s="241"/>
      <c r="H948" s="241"/>
      <c r="I948" s="241"/>
      <c r="J948" s="241"/>
      <c r="K948" s="241"/>
      <c r="L948" s="241"/>
      <c r="M948" s="241"/>
    </row>
    <row r="949" spans="1:13" s="103" customFormat="1" ht="20.100000000000001" customHeight="1">
      <c r="A949" s="93"/>
      <c r="B949" s="94"/>
      <c r="C949" s="93"/>
      <c r="D949" s="93"/>
      <c r="E949" s="93"/>
      <c r="F949" s="95"/>
      <c r="G949" s="93"/>
      <c r="H949" s="96"/>
      <c r="I949" s="96"/>
      <c r="J949" s="92"/>
      <c r="K949" s="61"/>
      <c r="L949" s="61"/>
      <c r="M949" s="55"/>
    </row>
    <row r="950" spans="1:13" s="103" customFormat="1" ht="20.100000000000001" customHeight="1">
      <c r="A950" s="242" t="s">
        <v>491</v>
      </c>
      <c r="B950" s="242"/>
      <c r="C950" s="92"/>
      <c r="D950" s="242"/>
      <c r="E950" s="242"/>
      <c r="F950" s="92"/>
      <c r="G950" s="242"/>
      <c r="H950" s="242"/>
      <c r="I950" s="242" t="s">
        <v>492</v>
      </c>
      <c r="J950" s="242"/>
      <c r="K950" s="242"/>
      <c r="L950" s="242" t="s">
        <v>493</v>
      </c>
      <c r="M950" s="242"/>
    </row>
    <row r="951" spans="1:13" s="103" customFormat="1" ht="20.100000000000001" customHeight="1">
      <c r="A951" s="93"/>
      <c r="B951" s="94"/>
      <c r="C951" s="92"/>
      <c r="D951" s="93"/>
      <c r="E951" s="93"/>
      <c r="F951" s="92"/>
      <c r="G951" s="93"/>
      <c r="H951" s="92"/>
      <c r="I951" s="93"/>
      <c r="J951" s="96"/>
      <c r="K951" s="60"/>
      <c r="L951" s="95"/>
      <c r="M951" s="61"/>
    </row>
    <row r="952" spans="1:13" s="103" customFormat="1" ht="20.100000000000001" customHeight="1">
      <c r="A952" s="404" t="s">
        <v>522</v>
      </c>
      <c r="B952" s="404"/>
      <c r="C952" s="404"/>
      <c r="D952" s="404"/>
      <c r="E952" s="404"/>
      <c r="F952" s="404"/>
      <c r="G952" s="94"/>
      <c r="H952" s="243"/>
      <c r="I952" s="404" t="s">
        <v>494</v>
      </c>
      <c r="J952" s="404"/>
      <c r="K952" s="58"/>
      <c r="L952" s="404" t="s">
        <v>328</v>
      </c>
      <c r="M952" s="404"/>
    </row>
    <row r="953" spans="1:13" s="103" customFormat="1" ht="20.100000000000001" customHeight="1">
      <c r="A953" s="405" t="s">
        <v>495</v>
      </c>
      <c r="B953" s="405"/>
      <c r="C953" s="405"/>
      <c r="D953" s="405"/>
      <c r="E953" s="405"/>
      <c r="F953" s="405"/>
      <c r="G953" s="15"/>
      <c r="H953" s="15"/>
      <c r="I953" s="406" t="s">
        <v>496</v>
      </c>
      <c r="J953" s="406"/>
      <c r="K953" s="15"/>
      <c r="L953" s="405" t="s">
        <v>497</v>
      </c>
      <c r="M953" s="405"/>
    </row>
    <row r="954" spans="1:13" s="103" customFormat="1" ht="20.100000000000001" customHeight="1">
      <c r="A954" s="102"/>
      <c r="B954" s="102"/>
      <c r="C954" s="102"/>
      <c r="D954" s="102"/>
      <c r="E954" s="102"/>
      <c r="F954" s="102"/>
      <c r="G954" s="102"/>
      <c r="H954" s="102"/>
      <c r="I954" s="102"/>
      <c r="J954" s="102"/>
      <c r="K954" s="102"/>
      <c r="L954" s="102"/>
      <c r="M954" s="102"/>
    </row>
    <row r="955" spans="1:13" s="103" customFormat="1" ht="20.100000000000001" customHeight="1">
      <c r="A955" s="102"/>
      <c r="B955" s="102"/>
      <c r="C955" s="102"/>
      <c r="D955" s="102"/>
      <c r="E955" s="102"/>
      <c r="F955" s="102"/>
      <c r="G955" s="102"/>
      <c r="H955" s="102"/>
      <c r="I955" s="102"/>
      <c r="J955" s="102"/>
      <c r="K955" s="102"/>
      <c r="L955" s="102"/>
      <c r="M955" s="102"/>
    </row>
    <row r="956" spans="1:13" s="103" customFormat="1" ht="20.100000000000001" customHeight="1">
      <c r="A956" s="102"/>
      <c r="B956" s="102"/>
      <c r="C956" s="102"/>
      <c r="D956" s="102"/>
      <c r="E956" s="102"/>
      <c r="F956" s="102"/>
      <c r="G956" s="102"/>
      <c r="H956" s="102"/>
      <c r="I956" s="102"/>
      <c r="J956" s="102"/>
      <c r="K956" s="102"/>
      <c r="L956" s="102"/>
      <c r="M956" s="102"/>
    </row>
    <row r="957" spans="1:13" s="81" customFormat="1" ht="15" customHeight="1">
      <c r="A957" s="399" t="s">
        <v>481</v>
      </c>
      <c r="B957" s="399"/>
      <c r="C957" s="399"/>
      <c r="D957" s="399"/>
      <c r="E957" s="399"/>
      <c r="F957" s="399"/>
      <c r="G957" s="399"/>
      <c r="H957" s="399"/>
      <c r="I957" s="399"/>
      <c r="J957" s="399"/>
      <c r="K957" s="399"/>
      <c r="L957" s="399"/>
      <c r="M957" s="399"/>
    </row>
    <row r="958" spans="1:13" s="81" customFormat="1" ht="15" customHeight="1">
      <c r="A958" s="244"/>
      <c r="B958" s="244"/>
      <c r="C958" s="244"/>
      <c r="D958" s="244"/>
      <c r="E958" s="244"/>
      <c r="F958" s="244"/>
      <c r="G958" s="244"/>
      <c r="H958" s="244"/>
      <c r="I958" s="244"/>
      <c r="J958" s="244"/>
      <c r="K958" s="244"/>
      <c r="L958" s="244"/>
      <c r="M958" s="244"/>
    </row>
    <row r="959" spans="1:13" s="81" customFormat="1" ht="15" customHeight="1">
      <c r="A959" s="238" t="s">
        <v>482</v>
      </c>
      <c r="B959" s="238"/>
      <c r="C959" s="238"/>
      <c r="D959" s="239"/>
      <c r="E959" s="239"/>
      <c r="F959" s="238" t="s">
        <v>483</v>
      </c>
      <c r="G959" s="238"/>
      <c r="H959" s="238"/>
      <c r="I959" s="238"/>
      <c r="J959" s="238" t="s">
        <v>484</v>
      </c>
      <c r="K959" s="238" t="str">
        <f>$K$9</f>
        <v>2025</v>
      </c>
      <c r="L959" s="238"/>
      <c r="M959" s="238"/>
    </row>
    <row r="960" spans="1:13" s="81" customFormat="1" ht="15" customHeight="1">
      <c r="A960" s="238" t="s">
        <v>485</v>
      </c>
      <c r="B960" s="238"/>
      <c r="C960" s="238"/>
      <c r="D960" s="239"/>
      <c r="E960" s="238"/>
      <c r="F960" s="238" t="s">
        <v>486</v>
      </c>
      <c r="G960" s="238"/>
      <c r="H960" s="238"/>
      <c r="I960" s="238"/>
      <c r="J960" s="238" t="s">
        <v>487</v>
      </c>
      <c r="K960" s="94" t="s">
        <v>520</v>
      </c>
      <c r="L960" s="238"/>
      <c r="M960" s="238"/>
    </row>
    <row r="961" spans="1:13" s="81" customFormat="1" ht="15" customHeight="1">
      <c r="A961" s="238" t="s">
        <v>489</v>
      </c>
      <c r="B961" s="238"/>
      <c r="C961" s="238"/>
      <c r="D961" s="238"/>
      <c r="E961" s="238"/>
      <c r="F961" s="238"/>
      <c r="G961" s="238"/>
      <c r="H961" s="238"/>
      <c r="I961" s="238"/>
      <c r="J961" s="238"/>
      <c r="K961" s="238" t="s">
        <v>523</v>
      </c>
      <c r="L961" s="238"/>
      <c r="M961" s="238"/>
    </row>
    <row r="962" spans="1:13" s="81" customFormat="1" ht="15" customHeight="1">
      <c r="A962" s="82"/>
      <c r="B962" s="82"/>
      <c r="C962" s="82"/>
      <c r="D962" s="82"/>
      <c r="E962" s="82"/>
      <c r="F962" s="82"/>
      <c r="G962" s="82"/>
      <c r="H962" s="82"/>
      <c r="I962" s="82"/>
      <c r="J962" s="82"/>
      <c r="K962" s="82"/>
      <c r="L962" s="82"/>
      <c r="M962" s="82"/>
    </row>
    <row r="963" spans="1:13" s="81" customFormat="1" ht="15" customHeight="1">
      <c r="A963" s="82"/>
      <c r="B963" s="82"/>
      <c r="C963" s="82"/>
      <c r="D963" s="82"/>
      <c r="E963" s="82"/>
      <c r="F963" s="82"/>
      <c r="G963" s="82"/>
      <c r="H963" s="82"/>
      <c r="I963" s="82"/>
      <c r="J963" s="82"/>
      <c r="K963" s="82"/>
      <c r="L963" s="82"/>
      <c r="M963" s="82"/>
    </row>
    <row r="964" spans="1:13" s="33" customFormat="1" ht="18" customHeight="1" thickBot="1">
      <c r="A964" s="400"/>
      <c r="B964" s="400"/>
      <c r="C964" s="400"/>
      <c r="D964" s="400"/>
      <c r="E964" s="400"/>
      <c r="F964" s="400"/>
      <c r="G964" s="400"/>
      <c r="H964" s="400"/>
      <c r="I964" s="400"/>
      <c r="J964" s="400"/>
      <c r="K964" s="400"/>
      <c r="L964" s="400"/>
      <c r="M964" s="400"/>
    </row>
    <row r="965" spans="1:13" ht="18" customHeight="1">
      <c r="A965" s="192"/>
      <c r="B965" s="193"/>
      <c r="C965" s="193"/>
      <c r="D965" s="193"/>
      <c r="E965" s="193"/>
      <c r="F965" s="194"/>
      <c r="G965" s="195"/>
      <c r="H965" s="196"/>
      <c r="I965" s="196" t="s">
        <v>3</v>
      </c>
      <c r="J965" s="394" t="s">
        <v>188</v>
      </c>
      <c r="K965" s="395"/>
      <c r="L965" s="396"/>
      <c r="M965" s="197" t="s">
        <v>4</v>
      </c>
    </row>
    <row r="966" spans="1:13" ht="18" customHeight="1">
      <c r="A966" s="388"/>
      <c r="B966" s="389"/>
      <c r="C966" s="389"/>
      <c r="D966" s="389"/>
      <c r="E966" s="389"/>
      <c r="F966" s="390"/>
      <c r="G966" s="199"/>
      <c r="H966" s="200"/>
      <c r="I966" s="200">
        <v>2023</v>
      </c>
      <c r="J966" s="200" t="s">
        <v>137</v>
      </c>
      <c r="K966" s="200" t="s">
        <v>138</v>
      </c>
      <c r="L966" s="200">
        <v>2024</v>
      </c>
      <c r="M966" s="201">
        <v>2025</v>
      </c>
    </row>
    <row r="967" spans="1:13" ht="18" customHeight="1">
      <c r="A967" s="388" t="s">
        <v>8</v>
      </c>
      <c r="B967" s="389"/>
      <c r="C967" s="389"/>
      <c r="D967" s="389"/>
      <c r="E967" s="389"/>
      <c r="F967" s="390"/>
      <c r="G967" s="202"/>
      <c r="H967" s="203" t="s">
        <v>186</v>
      </c>
      <c r="I967" s="200" t="s">
        <v>311</v>
      </c>
      <c r="J967" s="200" t="s">
        <v>136</v>
      </c>
      <c r="K967" s="200" t="s">
        <v>139</v>
      </c>
      <c r="L967" s="200" t="s">
        <v>311</v>
      </c>
      <c r="M967" s="201" t="s">
        <v>311</v>
      </c>
    </row>
    <row r="968" spans="1:13" ht="18" customHeight="1">
      <c r="A968" s="204"/>
      <c r="B968" s="99"/>
      <c r="C968" s="99"/>
      <c r="D968" s="99"/>
      <c r="E968" s="99"/>
      <c r="F968" s="205"/>
      <c r="G968" s="202"/>
      <c r="H968" s="200"/>
      <c r="I968" s="200" t="s">
        <v>136</v>
      </c>
      <c r="J968" s="200">
        <v>2024</v>
      </c>
      <c r="K968" s="200">
        <v>2024</v>
      </c>
      <c r="L968" s="200" t="s">
        <v>312</v>
      </c>
      <c r="M968" s="201" t="s">
        <v>140</v>
      </c>
    </row>
    <row r="969" spans="1:13" ht="18" customHeight="1" thickBot="1">
      <c r="A969" s="391"/>
      <c r="B969" s="392"/>
      <c r="C969" s="392"/>
      <c r="D969" s="392"/>
      <c r="E969" s="392"/>
      <c r="F969" s="393"/>
      <c r="G969" s="206"/>
      <c r="H969" s="207"/>
      <c r="I969" s="207"/>
      <c r="J969" s="207"/>
      <c r="K969" s="207"/>
      <c r="L969" s="207"/>
      <c r="M969" s="208"/>
    </row>
    <row r="970" spans="1:13" ht="18" customHeight="1">
      <c r="A970" s="209"/>
      <c r="B970" s="210" t="s">
        <v>51</v>
      </c>
      <c r="C970" s="211"/>
      <c r="D970" s="210"/>
      <c r="E970" s="210"/>
      <c r="F970" s="212"/>
      <c r="G970" s="213"/>
      <c r="H970" s="225"/>
      <c r="I970" s="226"/>
      <c r="J970" s="62"/>
      <c r="K970" s="62"/>
      <c r="L970" s="62"/>
      <c r="M970" s="62"/>
    </row>
    <row r="971" spans="1:13" ht="18" customHeight="1">
      <c r="A971" s="133"/>
      <c r="B971" s="127"/>
      <c r="C971" s="127" t="s">
        <v>102</v>
      </c>
      <c r="D971" s="127"/>
      <c r="E971" s="127"/>
      <c r="F971" s="128"/>
      <c r="G971" s="129"/>
      <c r="H971" s="167"/>
      <c r="I971" s="168"/>
      <c r="J971" s="63"/>
      <c r="K971" s="63"/>
      <c r="L971" s="63"/>
      <c r="M971" s="63"/>
    </row>
    <row r="972" spans="1:13" ht="18" customHeight="1">
      <c r="A972" s="133"/>
      <c r="B972" s="127"/>
      <c r="C972" s="127"/>
      <c r="D972" s="127" t="s">
        <v>103</v>
      </c>
      <c r="E972" s="127"/>
      <c r="F972" s="128"/>
      <c r="G972" s="129" t="s">
        <v>156</v>
      </c>
      <c r="H972" s="130" t="s">
        <v>196</v>
      </c>
      <c r="I972" s="135">
        <v>1944793.36</v>
      </c>
      <c r="J972" s="39">
        <v>846378</v>
      </c>
      <c r="K972" s="39">
        <f>2109511-J972</f>
        <v>1263133</v>
      </c>
      <c r="L972" s="39">
        <f>SUM(K972+J972)</f>
        <v>2109511</v>
      </c>
      <c r="M972" s="39">
        <v>2154672</v>
      </c>
    </row>
    <row r="973" spans="1:13" ht="18" customHeight="1">
      <c r="A973" s="133"/>
      <c r="B973" s="127"/>
      <c r="C973" s="127" t="s">
        <v>104</v>
      </c>
      <c r="D973" s="127"/>
      <c r="E973" s="127"/>
      <c r="F973" s="128"/>
      <c r="G973" s="129"/>
      <c r="H973" s="167"/>
      <c r="I973" s="135"/>
      <c r="J973" s="39"/>
      <c r="K973" s="39"/>
      <c r="L973" s="39"/>
      <c r="M973" s="39"/>
    </row>
    <row r="974" spans="1:13" ht="18" customHeight="1">
      <c r="A974" s="133"/>
      <c r="B974" s="127"/>
      <c r="C974" s="127"/>
      <c r="D974" s="127" t="s">
        <v>105</v>
      </c>
      <c r="E974" s="127"/>
      <c r="F974" s="128"/>
      <c r="G974" s="129" t="s">
        <v>157</v>
      </c>
      <c r="H974" s="130" t="s">
        <v>197</v>
      </c>
      <c r="I974" s="135">
        <v>136000</v>
      </c>
      <c r="J974" s="39">
        <v>60000</v>
      </c>
      <c r="K974" s="39">
        <f>144000-J974</f>
        <v>84000</v>
      </c>
      <c r="L974" s="39">
        <f t="shared" ref="L974:L992" si="67">SUM(K974+J974)</f>
        <v>144000</v>
      </c>
      <c r="M974" s="39">
        <v>144000</v>
      </c>
    </row>
    <row r="975" spans="1:13" ht="18" customHeight="1">
      <c r="A975" s="133"/>
      <c r="B975" s="127"/>
      <c r="C975" s="127"/>
      <c r="D975" s="127" t="s">
        <v>108</v>
      </c>
      <c r="E975" s="127"/>
      <c r="F975" s="128"/>
      <c r="G975" s="129" t="s">
        <v>160</v>
      </c>
      <c r="H975" s="130" t="s">
        <v>200</v>
      </c>
      <c r="I975" s="135">
        <v>36000</v>
      </c>
      <c r="J975" s="39">
        <v>35000</v>
      </c>
      <c r="K975" s="39">
        <f>42000-J975</f>
        <v>7000</v>
      </c>
      <c r="L975" s="39">
        <f t="shared" si="67"/>
        <v>42000</v>
      </c>
      <c r="M975" s="39">
        <v>42000</v>
      </c>
    </row>
    <row r="976" spans="1:13" ht="18" customHeight="1">
      <c r="A976" s="133"/>
      <c r="B976" s="127"/>
      <c r="C976" s="127"/>
      <c r="D976" s="127" t="s">
        <v>109</v>
      </c>
      <c r="E976" s="127"/>
      <c r="F976" s="128"/>
      <c r="G976" s="129" t="s">
        <v>161</v>
      </c>
      <c r="H976" s="130" t="s">
        <v>217</v>
      </c>
      <c r="I976" s="135">
        <v>70150</v>
      </c>
      <c r="J976" s="39">
        <v>27325</v>
      </c>
      <c r="K976" s="39">
        <f>118800-J976</f>
        <v>91475</v>
      </c>
      <c r="L976" s="39">
        <f t="shared" si="67"/>
        <v>118800</v>
      </c>
      <c r="M976" s="39">
        <v>118800</v>
      </c>
    </row>
    <row r="977" spans="1:13" ht="18" customHeight="1">
      <c r="A977" s="133"/>
      <c r="B977" s="127"/>
      <c r="C977" s="127"/>
      <c r="D977" s="127" t="s">
        <v>194</v>
      </c>
      <c r="E977" s="127"/>
      <c r="F977" s="128"/>
      <c r="G977" s="129" t="s">
        <v>162</v>
      </c>
      <c r="H977" s="130" t="s">
        <v>201</v>
      </c>
      <c r="I977" s="135">
        <v>20000</v>
      </c>
      <c r="J977" s="39"/>
      <c r="K977" s="39">
        <f>30000-J977</f>
        <v>30000</v>
      </c>
      <c r="L977" s="39">
        <f t="shared" si="67"/>
        <v>30000</v>
      </c>
      <c r="M977" s="39">
        <v>30000</v>
      </c>
    </row>
    <row r="978" spans="1:13" ht="18" customHeight="1">
      <c r="A978" s="133"/>
      <c r="B978" s="127"/>
      <c r="C978" s="127"/>
      <c r="D978" s="127" t="s">
        <v>110</v>
      </c>
      <c r="E978" s="127"/>
      <c r="F978" s="128"/>
      <c r="G978" s="129" t="s">
        <v>92</v>
      </c>
      <c r="H978" s="130" t="s">
        <v>202</v>
      </c>
      <c r="I978" s="135">
        <v>10000</v>
      </c>
      <c r="J978" s="39">
        <v>5000</v>
      </c>
      <c r="K978" s="39">
        <f>15000-J978</f>
        <v>10000</v>
      </c>
      <c r="L978" s="39">
        <f t="shared" si="67"/>
        <v>15000</v>
      </c>
      <c r="M978" s="39">
        <v>0</v>
      </c>
    </row>
    <row r="979" spans="1:13" ht="18" customHeight="1">
      <c r="A979" s="133"/>
      <c r="B979" s="127"/>
      <c r="C979" s="127"/>
      <c r="D979" s="127" t="s">
        <v>354</v>
      </c>
      <c r="E979" s="127"/>
      <c r="F979" s="128"/>
      <c r="G979" s="129" t="s">
        <v>92</v>
      </c>
      <c r="H979" s="130" t="s">
        <v>202</v>
      </c>
      <c r="I979" s="135"/>
      <c r="J979" s="39"/>
      <c r="K979" s="39">
        <f>0-J979</f>
        <v>0</v>
      </c>
      <c r="L979" s="39">
        <f t="shared" si="67"/>
        <v>0</v>
      </c>
      <c r="M979" s="39"/>
    </row>
    <row r="980" spans="1:13" ht="18" customHeight="1">
      <c r="A980" s="133"/>
      <c r="B980" s="127"/>
      <c r="C980" s="127"/>
      <c r="D980" s="127" t="s">
        <v>421</v>
      </c>
      <c r="E980" s="127"/>
      <c r="F980" s="128"/>
      <c r="G980" s="129"/>
      <c r="H980" s="130" t="s">
        <v>202</v>
      </c>
      <c r="I980" s="135"/>
      <c r="J980" s="39"/>
      <c r="K980" s="39">
        <f>0-J980</f>
        <v>0</v>
      </c>
      <c r="L980" s="39">
        <f t="shared" si="67"/>
        <v>0</v>
      </c>
      <c r="M980" s="39">
        <v>42000</v>
      </c>
    </row>
    <row r="981" spans="1:13" ht="18" customHeight="1">
      <c r="A981" s="133"/>
      <c r="B981" s="127"/>
      <c r="C981" s="127"/>
      <c r="D981" s="127" t="s">
        <v>111</v>
      </c>
      <c r="E981" s="127"/>
      <c r="F981" s="128"/>
      <c r="G981" s="129" t="s">
        <v>163</v>
      </c>
      <c r="H981" s="130" t="s">
        <v>218</v>
      </c>
      <c r="I981" s="135">
        <v>159354.25</v>
      </c>
      <c r="J981" s="39">
        <v>57942.5</v>
      </c>
      <c r="K981" s="39">
        <f>173241-J981</f>
        <v>115298.5</v>
      </c>
      <c r="L981" s="39">
        <f t="shared" si="67"/>
        <v>173241</v>
      </c>
      <c r="M981" s="39">
        <v>173241</v>
      </c>
    </row>
    <row r="982" spans="1:13" ht="18" customHeight="1">
      <c r="A982" s="133"/>
      <c r="B982" s="127"/>
      <c r="C982" s="127"/>
      <c r="D982" s="127" t="s">
        <v>112</v>
      </c>
      <c r="E982" s="127"/>
      <c r="F982" s="128"/>
      <c r="G982" s="129" t="s">
        <v>165</v>
      </c>
      <c r="H982" s="130" t="s">
        <v>203</v>
      </c>
      <c r="I982" s="135">
        <v>29000</v>
      </c>
      <c r="J982" s="39"/>
      <c r="K982" s="39">
        <f>30000-J982</f>
        <v>30000</v>
      </c>
      <c r="L982" s="39">
        <f t="shared" si="67"/>
        <v>30000</v>
      </c>
      <c r="M982" s="39">
        <v>30000</v>
      </c>
    </row>
    <row r="983" spans="1:13" ht="18" customHeight="1">
      <c r="A983" s="133"/>
      <c r="B983" s="127"/>
      <c r="C983" s="127"/>
      <c r="D983" s="127" t="s">
        <v>252</v>
      </c>
      <c r="E983" s="127"/>
      <c r="F983" s="127"/>
      <c r="G983" s="138" t="s">
        <v>92</v>
      </c>
      <c r="H983" s="130" t="s">
        <v>202</v>
      </c>
      <c r="I983" s="135">
        <v>171501</v>
      </c>
      <c r="J983" s="39">
        <v>141063</v>
      </c>
      <c r="K983" s="39">
        <f>172213-J983</f>
        <v>31150</v>
      </c>
      <c r="L983" s="39">
        <f t="shared" si="67"/>
        <v>172213</v>
      </c>
      <c r="M983" s="39">
        <v>176695</v>
      </c>
    </row>
    <row r="984" spans="1:13" ht="18" customHeight="1">
      <c r="A984" s="133"/>
      <c r="B984" s="127"/>
      <c r="C984" s="127"/>
      <c r="D984" s="127" t="s">
        <v>113</v>
      </c>
      <c r="E984" s="127"/>
      <c r="F984" s="128"/>
      <c r="G984" s="129" t="s">
        <v>166</v>
      </c>
      <c r="H984" s="130" t="s">
        <v>204</v>
      </c>
      <c r="I984" s="135">
        <v>166398</v>
      </c>
      <c r="J984" s="39"/>
      <c r="K984" s="39">
        <f>180804-J984</f>
        <v>180804</v>
      </c>
      <c r="L984" s="39">
        <f t="shared" si="67"/>
        <v>180804</v>
      </c>
      <c r="M984" s="39">
        <v>185278</v>
      </c>
    </row>
    <row r="985" spans="1:13" ht="18" customHeight="1">
      <c r="A985" s="133"/>
      <c r="B985" s="127"/>
      <c r="C985" s="127"/>
      <c r="D985" s="127" t="s">
        <v>190</v>
      </c>
      <c r="E985" s="127"/>
      <c r="F985" s="128"/>
      <c r="G985" s="129" t="s">
        <v>167</v>
      </c>
      <c r="H985" s="130" t="s">
        <v>205</v>
      </c>
      <c r="I985" s="135">
        <f>225942.71+3896.89</f>
        <v>229839.6</v>
      </c>
      <c r="J985" s="39">
        <v>84637.8</v>
      </c>
      <c r="K985" s="39">
        <f>256000-J985</f>
        <v>171362.2</v>
      </c>
      <c r="L985" s="39">
        <f t="shared" si="67"/>
        <v>256000</v>
      </c>
      <c r="M985" s="39">
        <v>259000</v>
      </c>
    </row>
    <row r="986" spans="1:13" ht="18" customHeight="1">
      <c r="A986" s="133"/>
      <c r="B986" s="127"/>
      <c r="C986" s="127"/>
      <c r="D986" s="127" t="s">
        <v>114</v>
      </c>
      <c r="E986" s="127"/>
      <c r="F986" s="128"/>
      <c r="G986" s="129" t="s">
        <v>168</v>
      </c>
      <c r="H986" s="130" t="s">
        <v>206</v>
      </c>
      <c r="I986" s="135">
        <f>6300+500</f>
        <v>6800</v>
      </c>
      <c r="J986" s="39">
        <v>4500</v>
      </c>
      <c r="K986" s="39">
        <f>14400-J986</f>
        <v>9900</v>
      </c>
      <c r="L986" s="39">
        <f t="shared" si="67"/>
        <v>14400</v>
      </c>
      <c r="M986" s="39">
        <v>14400</v>
      </c>
    </row>
    <row r="987" spans="1:13" ht="18" customHeight="1">
      <c r="A987" s="133"/>
      <c r="B987" s="127"/>
      <c r="C987" s="127"/>
      <c r="D987" s="127" t="s">
        <v>115</v>
      </c>
      <c r="E987" s="127"/>
      <c r="F987" s="128"/>
      <c r="G987" s="129" t="s">
        <v>169</v>
      </c>
      <c r="H987" s="130" t="s">
        <v>207</v>
      </c>
      <c r="I987" s="135">
        <v>37858.1</v>
      </c>
      <c r="J987" s="39">
        <v>17632.89</v>
      </c>
      <c r="K987" s="39">
        <f>54000-J987</f>
        <v>36367.11</v>
      </c>
      <c r="L987" s="39">
        <f t="shared" si="67"/>
        <v>54000</v>
      </c>
      <c r="M987" s="39">
        <v>54000</v>
      </c>
    </row>
    <row r="988" spans="1:13" ht="18" customHeight="1">
      <c r="A988" s="133"/>
      <c r="B988" s="127"/>
      <c r="C988" s="127"/>
      <c r="D988" s="127" t="s">
        <v>189</v>
      </c>
      <c r="E988" s="127"/>
      <c r="F988" s="128"/>
      <c r="G988" s="129" t="s">
        <v>170</v>
      </c>
      <c r="H988" s="130" t="s">
        <v>208</v>
      </c>
      <c r="I988" s="135">
        <v>6700</v>
      </c>
      <c r="J988" s="39">
        <v>2500</v>
      </c>
      <c r="K988" s="39">
        <f>7200-J988</f>
        <v>4700</v>
      </c>
      <c r="L988" s="39">
        <f t="shared" si="67"/>
        <v>7200</v>
      </c>
      <c r="M988" s="39">
        <v>7200</v>
      </c>
    </row>
    <row r="989" spans="1:13" ht="18" customHeight="1">
      <c r="A989" s="133"/>
      <c r="B989" s="127"/>
      <c r="C989" s="127"/>
      <c r="D989" s="127" t="s">
        <v>54</v>
      </c>
      <c r="E989" s="127"/>
      <c r="F989" s="128"/>
      <c r="G989" s="129"/>
      <c r="H989" s="130" t="s">
        <v>209</v>
      </c>
      <c r="I989" s="135">
        <f>258401.68+503043.61</f>
        <v>761445.29</v>
      </c>
      <c r="J989" s="39"/>
      <c r="K989" s="39">
        <f>0-J989</f>
        <v>0</v>
      </c>
      <c r="L989" s="39">
        <f t="shared" si="67"/>
        <v>0</v>
      </c>
      <c r="M989" s="39">
        <v>0</v>
      </c>
    </row>
    <row r="990" spans="1:13" ht="18" customHeight="1">
      <c r="A990" s="133"/>
      <c r="B990" s="127"/>
      <c r="C990" s="127"/>
      <c r="D990" s="127" t="s">
        <v>117</v>
      </c>
      <c r="E990" s="127"/>
      <c r="F990" s="128"/>
      <c r="G990" s="129" t="s">
        <v>67</v>
      </c>
      <c r="H990" s="130" t="s">
        <v>220</v>
      </c>
      <c r="I990" s="135"/>
      <c r="J990" s="39">
        <v>110967.46</v>
      </c>
      <c r="K990" s="39">
        <f>117729.86-J990</f>
        <v>6762.3999999999942</v>
      </c>
      <c r="L990" s="39">
        <f t="shared" si="67"/>
        <v>117729.86</v>
      </c>
      <c r="M990" s="39">
        <v>0</v>
      </c>
    </row>
    <row r="991" spans="1:13" ht="18" customHeight="1">
      <c r="A991" s="133"/>
      <c r="B991" s="127"/>
      <c r="C991" s="127"/>
      <c r="D991" s="127" t="s">
        <v>343</v>
      </c>
      <c r="E991" s="127"/>
      <c r="F991" s="128"/>
      <c r="G991" s="129"/>
      <c r="H991" s="130" t="s">
        <v>220</v>
      </c>
      <c r="I991" s="135">
        <v>80000</v>
      </c>
      <c r="J991" s="39"/>
      <c r="K991" s="39">
        <f>88000-J991</f>
        <v>88000</v>
      </c>
      <c r="L991" s="39">
        <f t="shared" si="67"/>
        <v>88000</v>
      </c>
      <c r="M991" s="39">
        <v>0</v>
      </c>
    </row>
    <row r="992" spans="1:13" ht="18" customHeight="1">
      <c r="A992" s="133"/>
      <c r="B992" s="127"/>
      <c r="C992" s="127"/>
      <c r="D992" s="191" t="s">
        <v>423</v>
      </c>
      <c r="E992" s="127"/>
      <c r="F992" s="128"/>
      <c r="G992" s="129"/>
      <c r="H992" s="130" t="s">
        <v>220</v>
      </c>
      <c r="I992" s="135">
        <v>180000</v>
      </c>
      <c r="J992" s="39"/>
      <c r="K992" s="39">
        <f>137500-J992</f>
        <v>137500</v>
      </c>
      <c r="L992" s="39">
        <f t="shared" si="67"/>
        <v>137500</v>
      </c>
      <c r="M992" s="39">
        <v>0</v>
      </c>
    </row>
    <row r="993" spans="1:13" ht="18" customHeight="1">
      <c r="A993" s="139"/>
      <c r="B993" s="140"/>
      <c r="C993" s="140"/>
      <c r="D993" s="140" t="s">
        <v>53</v>
      </c>
      <c r="E993" s="140"/>
      <c r="F993" s="141"/>
      <c r="G993" s="142"/>
      <c r="H993" s="169"/>
      <c r="I993" s="143">
        <f>SUM(I972:I992)</f>
        <v>4045839.6000000006</v>
      </c>
      <c r="J993" s="143">
        <f t="shared" ref="J993:M993" si="68">SUM(J972:J992)</f>
        <v>1392946.65</v>
      </c>
      <c r="K993" s="143">
        <f t="shared" si="68"/>
        <v>2297452.21</v>
      </c>
      <c r="L993" s="143">
        <f t="shared" si="68"/>
        <v>3690398.86</v>
      </c>
      <c r="M993" s="143">
        <f t="shared" si="68"/>
        <v>3431286</v>
      </c>
    </row>
    <row r="994" spans="1:13" s="97" customFormat="1" ht="18" customHeight="1">
      <c r="A994" s="133"/>
      <c r="B994" s="127" t="s">
        <v>118</v>
      </c>
      <c r="C994" s="127"/>
      <c r="D994" s="127"/>
      <c r="E994" s="127"/>
      <c r="F994" s="128"/>
      <c r="G994" s="129"/>
      <c r="H994" s="167"/>
      <c r="I994" s="135"/>
      <c r="J994" s="39"/>
      <c r="K994" s="39"/>
      <c r="L994" s="39"/>
      <c r="M994" s="39"/>
    </row>
    <row r="995" spans="1:13" s="97" customFormat="1" ht="18" customHeight="1">
      <c r="A995" s="133"/>
      <c r="B995" s="127"/>
      <c r="C995" s="127"/>
      <c r="D995" s="127" t="s">
        <v>119</v>
      </c>
      <c r="E995" s="127"/>
      <c r="F995" s="128"/>
      <c r="G995" s="129" t="s">
        <v>60</v>
      </c>
      <c r="H995" s="130" t="s">
        <v>210</v>
      </c>
      <c r="I995" s="135">
        <v>91711.16</v>
      </c>
      <c r="J995" s="39">
        <v>52730</v>
      </c>
      <c r="K995" s="39">
        <f>104000-J995</f>
        <v>51270</v>
      </c>
      <c r="L995" s="39">
        <f t="shared" ref="L995:L1001" si="69">SUM(K995+J995)</f>
        <v>104000</v>
      </c>
      <c r="M995" s="39">
        <v>104000</v>
      </c>
    </row>
    <row r="996" spans="1:13" s="97" customFormat="1" ht="18" customHeight="1">
      <c r="A996" s="133"/>
      <c r="B996" s="127"/>
      <c r="C996" s="127"/>
      <c r="D996" s="127" t="s">
        <v>91</v>
      </c>
      <c r="E996" s="127"/>
      <c r="F996" s="128"/>
      <c r="G996" s="129" t="s">
        <v>61</v>
      </c>
      <c r="H996" s="130" t="s">
        <v>211</v>
      </c>
      <c r="I996" s="135">
        <v>41311.160000000003</v>
      </c>
      <c r="J996" s="39">
        <v>21449.07</v>
      </c>
      <c r="K996" s="39">
        <f>48000-J996</f>
        <v>26550.93</v>
      </c>
      <c r="L996" s="39">
        <f t="shared" si="69"/>
        <v>48000</v>
      </c>
      <c r="M996" s="39">
        <v>48000</v>
      </c>
    </row>
    <row r="997" spans="1:13" s="97" customFormat="1" ht="18" customHeight="1">
      <c r="A997" s="133"/>
      <c r="B997" s="127"/>
      <c r="C997" s="127"/>
      <c r="D997" s="127" t="s">
        <v>58</v>
      </c>
      <c r="E997" s="127"/>
      <c r="F997" s="128"/>
      <c r="G997" s="129" t="s">
        <v>63</v>
      </c>
      <c r="H997" s="130" t="s">
        <v>212</v>
      </c>
      <c r="I997" s="135">
        <v>107280</v>
      </c>
      <c r="J997" s="39">
        <v>1897.11</v>
      </c>
      <c r="K997" s="39">
        <f>33180.01-J997</f>
        <v>31282.9</v>
      </c>
      <c r="L997" s="39">
        <f t="shared" si="69"/>
        <v>33180.01</v>
      </c>
      <c r="M997" s="39">
        <v>130000</v>
      </c>
    </row>
    <row r="998" spans="1:13" s="97" customFormat="1" ht="18" customHeight="1">
      <c r="A998" s="133"/>
      <c r="B998" s="127"/>
      <c r="C998" s="127"/>
      <c r="D998" s="127" t="s">
        <v>121</v>
      </c>
      <c r="E998" s="127"/>
      <c r="F998" s="128"/>
      <c r="G998" s="129" t="s">
        <v>62</v>
      </c>
      <c r="H998" s="130" t="s">
        <v>222</v>
      </c>
      <c r="I998" s="135">
        <v>1384681.5</v>
      </c>
      <c r="J998" s="39">
        <v>823340.5</v>
      </c>
      <c r="K998" s="39">
        <f>1500000-J998</f>
        <v>676659.5</v>
      </c>
      <c r="L998" s="39">
        <f t="shared" si="69"/>
        <v>1500000</v>
      </c>
      <c r="M998" s="39">
        <v>1500000</v>
      </c>
    </row>
    <row r="999" spans="1:13" s="97" customFormat="1" ht="18" customHeight="1">
      <c r="A999" s="133"/>
      <c r="B999" s="127"/>
      <c r="C999" s="127"/>
      <c r="D999" s="127" t="s">
        <v>304</v>
      </c>
      <c r="E999" s="127"/>
      <c r="F999" s="128"/>
      <c r="G999" s="129" t="s">
        <v>65</v>
      </c>
      <c r="H999" s="130" t="s">
        <v>215</v>
      </c>
      <c r="I999" s="135">
        <v>11000</v>
      </c>
      <c r="J999" s="39"/>
      <c r="K999" s="39">
        <f>16000-J999</f>
        <v>16000</v>
      </c>
      <c r="L999" s="39">
        <f t="shared" si="69"/>
        <v>16000</v>
      </c>
      <c r="M999" s="39">
        <v>16000</v>
      </c>
    </row>
    <row r="1000" spans="1:13" s="97" customFormat="1" ht="18" customHeight="1">
      <c r="A1000" s="133"/>
      <c r="B1000" s="127"/>
      <c r="C1000" s="127"/>
      <c r="D1000" s="127" t="s">
        <v>131</v>
      </c>
      <c r="E1000" s="127"/>
      <c r="F1000" s="128"/>
      <c r="G1000" s="129" t="s">
        <v>66</v>
      </c>
      <c r="H1000" s="130" t="s">
        <v>216</v>
      </c>
      <c r="I1000" s="135">
        <v>22400</v>
      </c>
      <c r="J1000" s="39">
        <v>4250</v>
      </c>
      <c r="K1000" s="39">
        <f>12000-J1000</f>
        <v>7750</v>
      </c>
      <c r="L1000" s="39">
        <f t="shared" si="69"/>
        <v>12000</v>
      </c>
      <c r="M1000" s="39">
        <v>82000</v>
      </c>
    </row>
    <row r="1001" spans="1:13" ht="18" customHeight="1">
      <c r="A1001" s="133"/>
      <c r="B1001" s="127"/>
      <c r="C1001" s="127"/>
      <c r="D1001" s="127" t="s">
        <v>366</v>
      </c>
      <c r="E1001" s="127"/>
      <c r="F1001" s="128"/>
      <c r="G1001" s="129"/>
      <c r="H1001" s="130" t="s">
        <v>216</v>
      </c>
      <c r="I1001" s="135"/>
      <c r="J1001" s="39">
        <v>0</v>
      </c>
      <c r="K1001" s="39">
        <f>0-J1001</f>
        <v>0</v>
      </c>
      <c r="L1001" s="39">
        <f t="shared" si="69"/>
        <v>0</v>
      </c>
      <c r="M1001" s="39">
        <v>0</v>
      </c>
    </row>
    <row r="1002" spans="1:13" s="97" customFormat="1" ht="18" customHeight="1">
      <c r="A1002" s="139"/>
      <c r="B1002" s="140"/>
      <c r="C1002" s="140"/>
      <c r="D1002" s="140" t="s">
        <v>244</v>
      </c>
      <c r="E1002" s="140"/>
      <c r="F1002" s="141"/>
      <c r="G1002" s="142"/>
      <c r="H1002" s="169"/>
      <c r="I1002" s="143">
        <f>SUM(I995:I1001)</f>
        <v>1658383.82</v>
      </c>
      <c r="J1002" s="143">
        <f>SUM(J995:J1001)</f>
        <v>903666.68</v>
      </c>
      <c r="K1002" s="143">
        <f>SUM(K995:K1001)</f>
        <v>809513.33</v>
      </c>
      <c r="L1002" s="143">
        <f>SUM(L995:L1001)</f>
        <v>1713180.01</v>
      </c>
      <c r="M1002" s="143">
        <f>SUM(M995:M1001)</f>
        <v>1880000</v>
      </c>
    </row>
    <row r="1003" spans="1:13" s="97" customFormat="1" ht="18" customHeight="1">
      <c r="A1003" s="133"/>
      <c r="B1003" s="127" t="s">
        <v>132</v>
      </c>
      <c r="C1003" s="127"/>
      <c r="D1003" s="127"/>
      <c r="E1003" s="127"/>
      <c r="F1003" s="128"/>
      <c r="G1003" s="129"/>
      <c r="H1003" s="167"/>
      <c r="I1003" s="135"/>
      <c r="J1003" s="39"/>
      <c r="K1003" s="39"/>
      <c r="L1003" s="39"/>
      <c r="M1003" s="39"/>
    </row>
    <row r="1004" spans="1:13" s="97" customFormat="1" ht="18" customHeight="1">
      <c r="A1004" s="133"/>
      <c r="B1004" s="127"/>
      <c r="C1004" s="127"/>
      <c r="D1004" s="127" t="s">
        <v>195</v>
      </c>
      <c r="E1004" s="127"/>
      <c r="F1004" s="128"/>
      <c r="G1004" s="129" t="s">
        <v>285</v>
      </c>
      <c r="H1004" s="130" t="s">
        <v>286</v>
      </c>
      <c r="I1004" s="135">
        <v>0</v>
      </c>
      <c r="J1004" s="39">
        <v>0</v>
      </c>
      <c r="K1004" s="39">
        <f>0-J1004</f>
        <v>0</v>
      </c>
      <c r="L1004" s="39">
        <f>SUM(K1004+J1004)</f>
        <v>0</v>
      </c>
      <c r="M1004" s="39">
        <v>0</v>
      </c>
    </row>
    <row r="1005" spans="1:13" s="97" customFormat="1" ht="18" customHeight="1">
      <c r="A1005" s="133"/>
      <c r="B1005" s="127"/>
      <c r="C1005" s="127"/>
      <c r="D1005" s="127" t="s">
        <v>284</v>
      </c>
      <c r="E1005" s="127"/>
      <c r="F1005" s="128"/>
      <c r="G1005" s="129" t="s">
        <v>287</v>
      </c>
      <c r="H1005" s="130" t="s">
        <v>348</v>
      </c>
      <c r="I1005" s="135">
        <v>0</v>
      </c>
      <c r="J1005" s="39">
        <v>0</v>
      </c>
      <c r="K1005" s="39">
        <f>70000-J1005</f>
        <v>70000</v>
      </c>
      <c r="L1005" s="39">
        <f t="shared" ref="L1005:L1006" si="70">SUM(K1005+J1005)</f>
        <v>70000</v>
      </c>
      <c r="M1005" s="39">
        <v>150000</v>
      </c>
    </row>
    <row r="1006" spans="1:13" s="97" customFormat="1" ht="18" customHeight="1">
      <c r="A1006" s="133"/>
      <c r="B1006" s="127"/>
      <c r="C1006" s="127"/>
      <c r="D1006" s="127" t="s">
        <v>357</v>
      </c>
      <c r="E1006" s="127"/>
      <c r="F1006" s="128"/>
      <c r="G1006" s="129"/>
      <c r="H1006" s="130" t="s">
        <v>356</v>
      </c>
      <c r="I1006" s="135">
        <v>0</v>
      </c>
      <c r="J1006" s="39">
        <v>0</v>
      </c>
      <c r="K1006" s="39">
        <f t="shared" ref="K1006" si="71">0-J1006</f>
        <v>0</v>
      </c>
      <c r="L1006" s="39">
        <f t="shared" si="70"/>
        <v>0</v>
      </c>
      <c r="M1006" s="39">
        <v>0</v>
      </c>
    </row>
    <row r="1007" spans="1:13" s="97" customFormat="1" ht="18" customHeight="1">
      <c r="A1007" s="139"/>
      <c r="B1007" s="140"/>
      <c r="C1007" s="140"/>
      <c r="D1007" s="140" t="s">
        <v>245</v>
      </c>
      <c r="E1007" s="140"/>
      <c r="F1007" s="141"/>
      <c r="G1007" s="142"/>
      <c r="H1007" s="169"/>
      <c r="I1007" s="143">
        <f>SUM(I1004:I1006)</f>
        <v>0</v>
      </c>
      <c r="J1007" s="143">
        <f t="shared" ref="J1007:M1007" si="72">SUM(J1004:J1006)</f>
        <v>0</v>
      </c>
      <c r="K1007" s="143">
        <f t="shared" si="72"/>
        <v>70000</v>
      </c>
      <c r="L1007" s="143">
        <f t="shared" si="72"/>
        <v>70000</v>
      </c>
      <c r="M1007" s="143">
        <f t="shared" si="72"/>
        <v>150000</v>
      </c>
    </row>
    <row r="1008" spans="1:13" s="97" customFormat="1" ht="18" customHeight="1">
      <c r="A1008" s="139"/>
      <c r="B1008" s="140"/>
      <c r="C1008" s="140"/>
      <c r="D1008" s="140"/>
      <c r="E1008" s="140"/>
      <c r="F1008" s="141"/>
      <c r="G1008" s="142"/>
      <c r="H1008" s="169"/>
      <c r="I1008" s="143"/>
      <c r="J1008" s="46"/>
      <c r="K1008" s="46"/>
      <c r="L1008" s="46"/>
      <c r="M1008" s="46"/>
    </row>
    <row r="1009" spans="1:13" ht="18" customHeight="1">
      <c r="A1009" s="146" t="s">
        <v>187</v>
      </c>
      <c r="B1009" s="148"/>
      <c r="C1009" s="148"/>
      <c r="D1009" s="148"/>
      <c r="E1009" s="148"/>
      <c r="F1009" s="149"/>
      <c r="G1009" s="166"/>
      <c r="H1009" s="170"/>
      <c r="I1009" s="152">
        <f>SUM(I1007+I1002+I993)</f>
        <v>5704223.4200000009</v>
      </c>
      <c r="J1009" s="152">
        <f>SUM(J1007+J1002+J993)</f>
        <v>2296613.33</v>
      </c>
      <c r="K1009" s="152">
        <f>SUM(K1007+K1002+K993)</f>
        <v>3176965.54</v>
      </c>
      <c r="L1009" s="152">
        <f>SUM(L1007+L1002+L993)</f>
        <v>5473578.8700000001</v>
      </c>
      <c r="M1009" s="152">
        <f>SUM(M1007+M1002+M993)</f>
        <v>5461286</v>
      </c>
    </row>
    <row r="1010" spans="1:13" ht="18" customHeight="1">
      <c r="A1010" s="100"/>
      <c r="B1010" s="100"/>
      <c r="C1010" s="100"/>
      <c r="D1010" s="100"/>
      <c r="E1010" s="100"/>
      <c r="F1010" s="100"/>
      <c r="G1010" s="198"/>
      <c r="H1010" s="227"/>
      <c r="I1010" s="228"/>
      <c r="J1010" s="228"/>
      <c r="K1010" s="228"/>
      <c r="L1010" s="228"/>
      <c r="M1010" s="228"/>
    </row>
    <row r="1011" spans="1:13" ht="18" customHeight="1">
      <c r="A1011" s="241" t="s">
        <v>490</v>
      </c>
      <c r="B1011" s="241"/>
      <c r="C1011" s="241"/>
      <c r="D1011" s="241"/>
      <c r="E1011" s="241"/>
      <c r="F1011" s="241"/>
      <c r="G1011" s="241"/>
      <c r="H1011" s="241"/>
      <c r="I1011" s="241"/>
      <c r="J1011" s="241"/>
      <c r="K1011" s="241"/>
      <c r="L1011" s="241"/>
      <c r="M1011" s="241"/>
    </row>
    <row r="1012" spans="1:13" s="97" customFormat="1" ht="18" customHeight="1">
      <c r="A1012" s="93"/>
      <c r="B1012" s="94"/>
      <c r="C1012" s="93"/>
      <c r="D1012" s="93"/>
      <c r="E1012" s="93"/>
      <c r="F1012" s="95"/>
      <c r="G1012" s="93"/>
      <c r="H1012" s="96"/>
      <c r="I1012" s="96"/>
      <c r="J1012" s="92"/>
      <c r="K1012" s="61"/>
      <c r="L1012" s="61"/>
      <c r="M1012" s="55"/>
    </row>
    <row r="1013" spans="1:13" s="97" customFormat="1" ht="18" customHeight="1">
      <c r="A1013" s="242" t="s">
        <v>491</v>
      </c>
      <c r="B1013" s="242"/>
      <c r="C1013" s="92"/>
      <c r="D1013" s="242"/>
      <c r="E1013" s="242"/>
      <c r="F1013" s="92"/>
      <c r="G1013" s="242"/>
      <c r="H1013" s="242"/>
      <c r="I1013" s="242" t="s">
        <v>492</v>
      </c>
      <c r="J1013" s="242"/>
      <c r="K1013" s="242"/>
      <c r="L1013" s="242" t="s">
        <v>493</v>
      </c>
      <c r="M1013" s="242"/>
    </row>
    <row r="1014" spans="1:13" s="97" customFormat="1" ht="18" customHeight="1">
      <c r="A1014" s="93"/>
      <c r="B1014" s="94"/>
      <c r="C1014" s="92"/>
      <c r="D1014" s="93"/>
      <c r="E1014" s="93"/>
      <c r="F1014" s="92"/>
      <c r="G1014" s="93"/>
      <c r="H1014" s="92"/>
      <c r="I1014" s="93"/>
      <c r="J1014" s="96"/>
      <c r="K1014" s="60"/>
      <c r="L1014" s="95"/>
      <c r="M1014" s="61"/>
    </row>
    <row r="1015" spans="1:13" s="97" customFormat="1" ht="18" customHeight="1">
      <c r="A1015" s="404" t="s">
        <v>522</v>
      </c>
      <c r="B1015" s="404"/>
      <c r="C1015" s="404"/>
      <c r="D1015" s="404"/>
      <c r="E1015" s="404"/>
      <c r="F1015" s="404"/>
      <c r="G1015" s="94"/>
      <c r="H1015" s="243"/>
      <c r="I1015" s="404" t="s">
        <v>494</v>
      </c>
      <c r="J1015" s="404"/>
      <c r="K1015" s="58"/>
      <c r="L1015" s="404" t="s">
        <v>328</v>
      </c>
      <c r="M1015" s="404"/>
    </row>
    <row r="1016" spans="1:13" s="97" customFormat="1" ht="18" customHeight="1">
      <c r="A1016" s="405" t="s">
        <v>495</v>
      </c>
      <c r="B1016" s="405"/>
      <c r="C1016" s="405"/>
      <c r="D1016" s="405"/>
      <c r="E1016" s="405"/>
      <c r="F1016" s="405"/>
      <c r="G1016" s="15"/>
      <c r="H1016" s="15"/>
      <c r="I1016" s="406" t="s">
        <v>496</v>
      </c>
      <c r="J1016" s="406"/>
      <c r="K1016" s="15"/>
      <c r="L1016" s="405" t="s">
        <v>497</v>
      </c>
      <c r="M1016" s="405"/>
    </row>
    <row r="1017" spans="1:13" s="97" customFormat="1" ht="18" customHeight="1">
      <c r="A1017" s="98"/>
      <c r="B1017" s="98"/>
      <c r="C1017" s="98"/>
      <c r="D1017" s="98"/>
      <c r="E1017" s="98"/>
      <c r="F1017" s="98"/>
      <c r="G1017" s="98"/>
      <c r="H1017" s="98"/>
      <c r="I1017" s="98"/>
      <c r="J1017" s="98"/>
      <c r="K1017" s="98"/>
      <c r="L1017" s="98"/>
      <c r="M1017" s="98"/>
    </row>
    <row r="1018" spans="1:13" s="97" customFormat="1" ht="18" customHeight="1">
      <c r="A1018" s="98"/>
      <c r="B1018" s="98"/>
      <c r="C1018" s="98"/>
      <c r="D1018" s="98"/>
      <c r="E1018" s="98"/>
      <c r="F1018" s="98"/>
      <c r="G1018" s="98"/>
      <c r="H1018" s="98"/>
      <c r="I1018" s="98"/>
      <c r="J1018" s="98"/>
      <c r="K1018" s="98"/>
      <c r="L1018" s="98"/>
      <c r="M1018" s="98"/>
    </row>
    <row r="1019" spans="1:13" s="97" customFormat="1" ht="18" customHeight="1">
      <c r="A1019" s="98"/>
      <c r="B1019" s="98"/>
      <c r="C1019" s="98"/>
      <c r="D1019" s="98"/>
      <c r="E1019" s="98"/>
      <c r="F1019" s="98"/>
      <c r="G1019" s="98"/>
      <c r="H1019" s="98"/>
      <c r="I1019" s="98"/>
      <c r="J1019" s="98"/>
      <c r="K1019" s="98"/>
      <c r="L1019" s="98"/>
      <c r="M1019" s="98"/>
    </row>
    <row r="1020" spans="1:13" s="97" customFormat="1" ht="18" customHeight="1">
      <c r="A1020" s="98"/>
      <c r="B1020" s="98"/>
      <c r="C1020" s="98"/>
      <c r="D1020" s="98"/>
      <c r="E1020" s="98"/>
      <c r="F1020" s="98"/>
      <c r="G1020" s="98"/>
      <c r="H1020" s="98"/>
      <c r="I1020" s="98"/>
      <c r="J1020" s="98"/>
      <c r="K1020" s="98"/>
      <c r="L1020" s="98"/>
      <c r="M1020" s="98"/>
    </row>
    <row r="1021" spans="1:13" s="97" customFormat="1" ht="18" customHeight="1">
      <c r="A1021" s="98"/>
      <c r="B1021" s="98"/>
      <c r="C1021" s="98"/>
      <c r="D1021" s="98"/>
      <c r="E1021" s="98"/>
      <c r="F1021" s="98"/>
      <c r="G1021" s="98"/>
      <c r="H1021" s="98"/>
      <c r="I1021" s="98"/>
      <c r="J1021" s="98"/>
      <c r="K1021" s="98"/>
      <c r="L1021" s="98"/>
      <c r="M1021" s="98"/>
    </row>
    <row r="1022" spans="1:13" s="92" customFormat="1" ht="18" customHeight="1">
      <c r="A1022" s="93"/>
      <c r="B1022" s="94"/>
      <c r="C1022" s="93"/>
      <c r="D1022" s="93"/>
      <c r="E1022" s="93"/>
      <c r="F1022" s="95"/>
      <c r="G1022" s="93"/>
      <c r="H1022" s="96"/>
      <c r="I1022" s="96"/>
      <c r="K1022" s="61"/>
      <c r="L1022" s="61"/>
      <c r="M1022" s="55"/>
    </row>
    <row r="1023" spans="1:13" s="33" customFormat="1" ht="18" customHeight="1">
      <c r="A1023" s="32"/>
      <c r="B1023" s="31"/>
      <c r="C1023" s="32"/>
      <c r="D1023" s="32"/>
      <c r="E1023" s="32"/>
      <c r="F1023" s="59"/>
      <c r="G1023" s="32"/>
      <c r="H1023" s="54"/>
      <c r="I1023" s="54"/>
      <c r="K1023" s="61"/>
      <c r="L1023" s="61"/>
      <c r="M1023" s="55"/>
    </row>
    <row r="1024" spans="1:13" s="81" customFormat="1" ht="15" customHeight="1">
      <c r="A1024" s="126"/>
      <c r="B1024" s="126"/>
      <c r="C1024" s="126"/>
      <c r="D1024" s="126"/>
      <c r="E1024" s="126"/>
      <c r="F1024" s="126"/>
      <c r="G1024" s="15"/>
      <c r="H1024" s="15"/>
      <c r="I1024" s="126"/>
      <c r="J1024" s="126"/>
      <c r="K1024" s="15"/>
      <c r="L1024" s="126"/>
      <c r="M1024" s="126"/>
    </row>
    <row r="1025" spans="1:13" s="81" customFormat="1" ht="15" customHeight="1">
      <c r="A1025" s="399" t="s">
        <v>481</v>
      </c>
      <c r="B1025" s="399"/>
      <c r="C1025" s="399"/>
      <c r="D1025" s="399"/>
      <c r="E1025" s="399"/>
      <c r="F1025" s="399"/>
      <c r="G1025" s="399"/>
      <c r="H1025" s="399"/>
      <c r="I1025" s="399"/>
      <c r="J1025" s="399"/>
      <c r="K1025" s="399"/>
      <c r="L1025" s="399"/>
      <c r="M1025" s="399"/>
    </row>
    <row r="1026" spans="1:13" s="81" customFormat="1" ht="15" customHeight="1">
      <c r="A1026" s="15"/>
      <c r="B1026" s="15"/>
      <c r="C1026" s="15"/>
      <c r="D1026" s="15"/>
      <c r="E1026" s="15"/>
      <c r="F1026" s="15"/>
      <c r="G1026" s="15"/>
      <c r="H1026" s="15"/>
      <c r="I1026" s="15"/>
      <c r="J1026" s="15"/>
      <c r="K1026" s="15"/>
      <c r="L1026" s="15"/>
      <c r="M1026" s="15"/>
    </row>
    <row r="1027" spans="1:13" s="81" customFormat="1" ht="15" customHeight="1">
      <c r="A1027" s="238" t="s">
        <v>482</v>
      </c>
      <c r="B1027" s="238"/>
      <c r="C1027" s="238"/>
      <c r="D1027" s="239"/>
      <c r="E1027" s="239"/>
      <c r="F1027" s="238" t="s">
        <v>483</v>
      </c>
      <c r="G1027" s="238"/>
      <c r="H1027" s="238"/>
      <c r="I1027" s="238"/>
      <c r="J1027" s="238" t="s">
        <v>484</v>
      </c>
      <c r="K1027" s="238" t="str">
        <f>$K$9</f>
        <v>2025</v>
      </c>
      <c r="L1027" s="238"/>
      <c r="M1027" s="238"/>
    </row>
    <row r="1028" spans="1:13" s="81" customFormat="1" ht="15" customHeight="1">
      <c r="A1028" s="238" t="s">
        <v>485</v>
      </c>
      <c r="B1028" s="238"/>
      <c r="C1028" s="238"/>
      <c r="D1028" s="239"/>
      <c r="E1028" s="238"/>
      <c r="F1028" s="238" t="s">
        <v>486</v>
      </c>
      <c r="G1028" s="238"/>
      <c r="H1028" s="238"/>
      <c r="I1028" s="238"/>
      <c r="J1028" s="238" t="s">
        <v>487</v>
      </c>
      <c r="K1028" s="94" t="s">
        <v>524</v>
      </c>
      <c r="L1028" s="238"/>
      <c r="M1028" s="238"/>
    </row>
    <row r="1029" spans="1:13" s="81" customFormat="1" ht="15" customHeight="1">
      <c r="A1029" s="238" t="s">
        <v>489</v>
      </c>
      <c r="B1029" s="238"/>
      <c r="C1029" s="238"/>
      <c r="D1029" s="238"/>
      <c r="E1029" s="238"/>
      <c r="F1029" s="238"/>
      <c r="G1029" s="238"/>
      <c r="H1029" s="238"/>
      <c r="I1029" s="238"/>
      <c r="J1029" s="238"/>
      <c r="K1029" s="238" t="s">
        <v>525</v>
      </c>
      <c r="L1029" s="238"/>
      <c r="M1029" s="238"/>
    </row>
    <row r="1030" spans="1:13" s="81" customFormat="1" ht="15" customHeight="1">
      <c r="A1030" s="82"/>
      <c r="B1030" s="82"/>
      <c r="C1030" s="82"/>
      <c r="D1030" s="82"/>
      <c r="E1030" s="82"/>
      <c r="F1030" s="82"/>
      <c r="G1030" s="82"/>
      <c r="H1030" s="82"/>
      <c r="I1030" s="82"/>
      <c r="J1030" s="82"/>
      <c r="K1030" s="82"/>
      <c r="L1030" s="82"/>
      <c r="M1030" s="82"/>
    </row>
    <row r="1031" spans="1:13" s="33" customFormat="1" ht="18" customHeight="1" thickBot="1">
      <c r="A1031" s="400"/>
      <c r="B1031" s="400"/>
      <c r="C1031" s="400"/>
      <c r="D1031" s="400"/>
      <c r="E1031" s="400"/>
      <c r="F1031" s="400"/>
      <c r="G1031" s="400"/>
      <c r="H1031" s="400"/>
      <c r="I1031" s="400"/>
      <c r="J1031" s="400"/>
      <c r="K1031" s="400"/>
      <c r="L1031" s="400"/>
      <c r="M1031" s="400"/>
    </row>
    <row r="1032" spans="1:13" ht="18" customHeight="1">
      <c r="A1032" s="192"/>
      <c r="B1032" s="193"/>
      <c r="C1032" s="193"/>
      <c r="D1032" s="193"/>
      <c r="E1032" s="193"/>
      <c r="F1032" s="194"/>
      <c r="G1032" s="195"/>
      <c r="H1032" s="196"/>
      <c r="I1032" s="196" t="s">
        <v>3</v>
      </c>
      <c r="J1032" s="394" t="s">
        <v>188</v>
      </c>
      <c r="K1032" s="395"/>
      <c r="L1032" s="396"/>
      <c r="M1032" s="197" t="s">
        <v>4</v>
      </c>
    </row>
    <row r="1033" spans="1:13" ht="18" customHeight="1">
      <c r="A1033" s="388"/>
      <c r="B1033" s="389"/>
      <c r="C1033" s="389"/>
      <c r="D1033" s="389"/>
      <c r="E1033" s="389"/>
      <c r="F1033" s="390"/>
      <c r="G1033" s="199"/>
      <c r="H1033" s="200"/>
      <c r="I1033" s="200">
        <v>2023</v>
      </c>
      <c r="J1033" s="200" t="s">
        <v>137</v>
      </c>
      <c r="K1033" s="200" t="s">
        <v>138</v>
      </c>
      <c r="L1033" s="200">
        <v>2024</v>
      </c>
      <c r="M1033" s="201">
        <v>2025</v>
      </c>
    </row>
    <row r="1034" spans="1:13" ht="18" customHeight="1">
      <c r="A1034" s="388" t="s">
        <v>8</v>
      </c>
      <c r="B1034" s="389"/>
      <c r="C1034" s="389"/>
      <c r="D1034" s="389"/>
      <c r="E1034" s="389"/>
      <c r="F1034" s="390"/>
      <c r="G1034" s="202"/>
      <c r="H1034" s="203" t="s">
        <v>186</v>
      </c>
      <c r="I1034" s="200" t="s">
        <v>311</v>
      </c>
      <c r="J1034" s="200" t="s">
        <v>136</v>
      </c>
      <c r="K1034" s="200" t="s">
        <v>139</v>
      </c>
      <c r="L1034" s="200" t="s">
        <v>311</v>
      </c>
      <c r="M1034" s="201" t="s">
        <v>311</v>
      </c>
    </row>
    <row r="1035" spans="1:13" ht="18" customHeight="1">
      <c r="A1035" s="204"/>
      <c r="B1035" s="99"/>
      <c r="C1035" s="99"/>
      <c r="D1035" s="99"/>
      <c r="E1035" s="99"/>
      <c r="F1035" s="205"/>
      <c r="G1035" s="202"/>
      <c r="H1035" s="200"/>
      <c r="I1035" s="200" t="s">
        <v>136</v>
      </c>
      <c r="J1035" s="200">
        <v>2024</v>
      </c>
      <c r="K1035" s="200">
        <v>2024</v>
      </c>
      <c r="L1035" s="200" t="s">
        <v>312</v>
      </c>
      <c r="M1035" s="201" t="s">
        <v>140</v>
      </c>
    </row>
    <row r="1036" spans="1:13" ht="18" customHeight="1" thickBot="1">
      <c r="A1036" s="391"/>
      <c r="B1036" s="392"/>
      <c r="C1036" s="392"/>
      <c r="D1036" s="392"/>
      <c r="E1036" s="392"/>
      <c r="F1036" s="393"/>
      <c r="G1036" s="206"/>
      <c r="H1036" s="207"/>
      <c r="I1036" s="207"/>
      <c r="J1036" s="207"/>
      <c r="K1036" s="207"/>
      <c r="L1036" s="207"/>
      <c r="M1036" s="208"/>
    </row>
    <row r="1037" spans="1:13" ht="18" customHeight="1">
      <c r="A1037" s="209"/>
      <c r="B1037" s="210" t="s">
        <v>51</v>
      </c>
      <c r="C1037" s="211"/>
      <c r="D1037" s="210"/>
      <c r="E1037" s="210"/>
      <c r="F1037" s="212"/>
      <c r="G1037" s="213"/>
      <c r="H1037" s="225"/>
      <c r="I1037" s="226"/>
      <c r="J1037" s="62"/>
      <c r="K1037" s="62"/>
      <c r="L1037" s="62"/>
      <c r="M1037" s="62"/>
    </row>
    <row r="1038" spans="1:13" ht="18" customHeight="1">
      <c r="A1038" s="133"/>
      <c r="B1038" s="127"/>
      <c r="C1038" s="127" t="s">
        <v>102</v>
      </c>
      <c r="D1038" s="127"/>
      <c r="E1038" s="127"/>
      <c r="F1038" s="128"/>
      <c r="G1038" s="129"/>
      <c r="H1038" s="167"/>
      <c r="I1038" s="168"/>
      <c r="J1038" s="63"/>
      <c r="K1038" s="63"/>
      <c r="L1038" s="63"/>
      <c r="M1038" s="63"/>
    </row>
    <row r="1039" spans="1:13" ht="18" customHeight="1">
      <c r="A1039" s="133"/>
      <c r="B1039" s="127"/>
      <c r="C1039" s="127"/>
      <c r="D1039" s="127" t="s">
        <v>103</v>
      </c>
      <c r="E1039" s="127"/>
      <c r="F1039" s="128"/>
      <c r="G1039" s="129" t="s">
        <v>156</v>
      </c>
      <c r="H1039" s="130" t="s">
        <v>196</v>
      </c>
      <c r="I1039" s="135">
        <v>763047</v>
      </c>
      <c r="J1039" s="39">
        <v>824014.36</v>
      </c>
      <c r="K1039" s="39">
        <f>1879234-J1039</f>
        <v>1055219.6400000001</v>
      </c>
      <c r="L1039" s="39">
        <f>SUM(K1039+J1039)</f>
        <v>1879234</v>
      </c>
      <c r="M1039" s="39">
        <v>2074518</v>
      </c>
    </row>
    <row r="1040" spans="1:13" ht="18" customHeight="1">
      <c r="A1040" s="133"/>
      <c r="B1040" s="127"/>
      <c r="C1040" s="127" t="s">
        <v>104</v>
      </c>
      <c r="D1040" s="127"/>
      <c r="E1040" s="127"/>
      <c r="F1040" s="128"/>
      <c r="G1040" s="129"/>
      <c r="H1040" s="130"/>
      <c r="I1040" s="135"/>
      <c r="J1040" s="39"/>
      <c r="K1040" s="39"/>
      <c r="L1040" s="39"/>
      <c r="M1040" s="39"/>
    </row>
    <row r="1041" spans="1:13" ht="18" customHeight="1">
      <c r="A1041" s="133"/>
      <c r="B1041" s="127"/>
      <c r="C1041" s="127"/>
      <c r="D1041" s="127" t="s">
        <v>105</v>
      </c>
      <c r="E1041" s="127"/>
      <c r="F1041" s="128"/>
      <c r="G1041" s="129" t="s">
        <v>157</v>
      </c>
      <c r="H1041" s="130" t="s">
        <v>197</v>
      </c>
      <c r="I1041" s="135">
        <v>48000</v>
      </c>
      <c r="J1041" s="39">
        <v>35454.550000000003</v>
      </c>
      <c r="K1041" s="39">
        <f>96000-J1041</f>
        <v>60545.45</v>
      </c>
      <c r="L1041" s="39">
        <f t="shared" ref="L1041:L1058" si="73">SUM(K1041+J1041)</f>
        <v>96000</v>
      </c>
      <c r="M1041" s="39">
        <v>96000</v>
      </c>
    </row>
    <row r="1042" spans="1:13" ht="18" customHeight="1">
      <c r="A1042" s="133"/>
      <c r="B1042" s="127"/>
      <c r="C1042" s="127"/>
      <c r="D1042" s="127" t="s">
        <v>107</v>
      </c>
      <c r="E1042" s="127"/>
      <c r="F1042" s="128"/>
      <c r="G1042" s="129" t="s">
        <v>158</v>
      </c>
      <c r="H1042" s="130" t="s">
        <v>198</v>
      </c>
      <c r="I1042" s="135"/>
      <c r="J1042" s="39">
        <v>41756.25</v>
      </c>
      <c r="K1042" s="39">
        <f>86700-J1042</f>
        <v>44943.75</v>
      </c>
      <c r="L1042" s="39">
        <f t="shared" si="73"/>
        <v>86700</v>
      </c>
      <c r="M1042" s="39">
        <v>86700</v>
      </c>
    </row>
    <row r="1043" spans="1:13" ht="18" customHeight="1">
      <c r="A1043" s="133"/>
      <c r="B1043" s="127"/>
      <c r="C1043" s="127"/>
      <c r="D1043" s="127" t="s">
        <v>106</v>
      </c>
      <c r="E1043" s="127"/>
      <c r="F1043" s="128"/>
      <c r="G1043" s="129" t="s">
        <v>159</v>
      </c>
      <c r="H1043" s="130" t="s">
        <v>199</v>
      </c>
      <c r="I1043" s="135"/>
      <c r="J1043" s="39">
        <v>41756.25</v>
      </c>
      <c r="K1043" s="39">
        <f>86700-J1043</f>
        <v>44943.75</v>
      </c>
      <c r="L1043" s="39">
        <f t="shared" si="73"/>
        <v>86700</v>
      </c>
      <c r="M1043" s="39">
        <v>86700</v>
      </c>
    </row>
    <row r="1044" spans="1:13" ht="18" customHeight="1">
      <c r="A1044" s="133"/>
      <c r="B1044" s="127"/>
      <c r="C1044" s="127"/>
      <c r="D1044" s="127" t="s">
        <v>108</v>
      </c>
      <c r="E1044" s="127"/>
      <c r="F1044" s="128"/>
      <c r="G1044" s="129" t="s">
        <v>160</v>
      </c>
      <c r="H1044" s="130" t="s">
        <v>200</v>
      </c>
      <c r="I1044" s="135">
        <v>12000</v>
      </c>
      <c r="J1044" s="39">
        <v>21000</v>
      </c>
      <c r="K1044" s="39">
        <f>28000-J1044</f>
        <v>7000</v>
      </c>
      <c r="L1044" s="39">
        <f t="shared" si="73"/>
        <v>28000</v>
      </c>
      <c r="M1044" s="39">
        <v>28000</v>
      </c>
    </row>
    <row r="1045" spans="1:13" ht="18" customHeight="1">
      <c r="A1045" s="133"/>
      <c r="B1045" s="127"/>
      <c r="C1045" s="127"/>
      <c r="D1045" s="127" t="s">
        <v>194</v>
      </c>
      <c r="E1045" s="127"/>
      <c r="F1045" s="128"/>
      <c r="G1045" s="129" t="s">
        <v>162</v>
      </c>
      <c r="H1045" s="130" t="s">
        <v>201</v>
      </c>
      <c r="I1045" s="135">
        <v>10000</v>
      </c>
      <c r="J1045" s="39"/>
      <c r="K1045" s="39">
        <f>20000-J1045</f>
        <v>20000</v>
      </c>
      <c r="L1045" s="39">
        <f t="shared" si="73"/>
        <v>20000</v>
      </c>
      <c r="M1045" s="39">
        <v>20000</v>
      </c>
    </row>
    <row r="1046" spans="1:13" ht="18" customHeight="1">
      <c r="A1046" s="133"/>
      <c r="B1046" s="127"/>
      <c r="C1046" s="127"/>
      <c r="D1046" s="127" t="s">
        <v>110</v>
      </c>
      <c r="E1046" s="127"/>
      <c r="F1046" s="128"/>
      <c r="G1046" s="129" t="s">
        <v>92</v>
      </c>
      <c r="H1046" s="130" t="s">
        <v>202</v>
      </c>
      <c r="I1046" s="135">
        <v>5000</v>
      </c>
      <c r="J1046" s="39"/>
      <c r="K1046" s="39">
        <f>0-J1046</f>
        <v>0</v>
      </c>
      <c r="L1046" s="39">
        <f t="shared" si="73"/>
        <v>0</v>
      </c>
      <c r="M1046" s="39">
        <v>5000</v>
      </c>
    </row>
    <row r="1047" spans="1:13" ht="18" customHeight="1">
      <c r="A1047" s="133"/>
      <c r="B1047" s="127"/>
      <c r="C1047" s="127"/>
      <c r="D1047" s="127" t="s">
        <v>112</v>
      </c>
      <c r="E1047" s="127"/>
      <c r="F1047" s="128"/>
      <c r="G1047" s="129" t="s">
        <v>165</v>
      </c>
      <c r="H1047" s="130" t="s">
        <v>203</v>
      </c>
      <c r="I1047" s="135">
        <v>10000</v>
      </c>
      <c r="J1047" s="39"/>
      <c r="K1047" s="39">
        <f>20000-J1047</f>
        <v>20000</v>
      </c>
      <c r="L1047" s="39">
        <f t="shared" si="73"/>
        <v>20000</v>
      </c>
      <c r="M1047" s="39">
        <v>20000</v>
      </c>
    </row>
    <row r="1048" spans="1:13" ht="18" customHeight="1">
      <c r="A1048" s="133"/>
      <c r="B1048" s="127"/>
      <c r="C1048" s="127"/>
      <c r="D1048" s="127" t="s">
        <v>252</v>
      </c>
      <c r="E1048" s="127"/>
      <c r="F1048" s="127"/>
      <c r="G1048" s="138" t="s">
        <v>92</v>
      </c>
      <c r="H1048" s="130" t="s">
        <v>202</v>
      </c>
      <c r="I1048" s="135">
        <v>63527</v>
      </c>
      <c r="J1048" s="39">
        <v>140334</v>
      </c>
      <c r="K1048" s="39">
        <f>153582-J1048</f>
        <v>13248</v>
      </c>
      <c r="L1048" s="39">
        <f t="shared" si="73"/>
        <v>153582</v>
      </c>
      <c r="M1048" s="39">
        <v>170292</v>
      </c>
    </row>
    <row r="1049" spans="1:13" ht="18" customHeight="1">
      <c r="A1049" s="133"/>
      <c r="B1049" s="127"/>
      <c r="C1049" s="127"/>
      <c r="D1049" s="127" t="s">
        <v>354</v>
      </c>
      <c r="E1049" s="127"/>
      <c r="F1049" s="128"/>
      <c r="G1049" s="129" t="s">
        <v>92</v>
      </c>
      <c r="H1049" s="130" t="s">
        <v>202</v>
      </c>
      <c r="I1049" s="135"/>
      <c r="J1049" s="39"/>
      <c r="K1049" s="39">
        <f>0-J1049</f>
        <v>0</v>
      </c>
      <c r="L1049" s="39">
        <f t="shared" si="73"/>
        <v>0</v>
      </c>
      <c r="M1049" s="39"/>
    </row>
    <row r="1050" spans="1:13" ht="18" customHeight="1">
      <c r="A1050" s="133"/>
      <c r="B1050" s="127"/>
      <c r="C1050" s="127"/>
      <c r="D1050" s="127" t="s">
        <v>421</v>
      </c>
      <c r="E1050" s="127"/>
      <c r="F1050" s="128"/>
      <c r="G1050" s="129"/>
      <c r="H1050" s="130" t="s">
        <v>202</v>
      </c>
      <c r="I1050" s="135"/>
      <c r="J1050" s="39"/>
      <c r="K1050" s="39">
        <f>0-J1050</f>
        <v>0</v>
      </c>
      <c r="L1050" s="39">
        <f t="shared" si="73"/>
        <v>0</v>
      </c>
      <c r="M1050" s="39">
        <v>28000</v>
      </c>
    </row>
    <row r="1051" spans="1:13" ht="18" customHeight="1">
      <c r="A1051" s="133"/>
      <c r="B1051" s="127"/>
      <c r="C1051" s="127"/>
      <c r="D1051" s="127" t="s">
        <v>113</v>
      </c>
      <c r="E1051" s="127"/>
      <c r="F1051" s="128"/>
      <c r="G1051" s="129" t="s">
        <v>166</v>
      </c>
      <c r="H1051" s="130" t="s">
        <v>204</v>
      </c>
      <c r="I1051" s="135">
        <v>63527</v>
      </c>
      <c r="J1051" s="39"/>
      <c r="K1051" s="39">
        <f>160832-J1051</f>
        <v>160832</v>
      </c>
      <c r="L1051" s="39">
        <f t="shared" si="73"/>
        <v>160832</v>
      </c>
      <c r="M1051" s="39">
        <v>177924</v>
      </c>
    </row>
    <row r="1052" spans="1:13" ht="18" customHeight="1">
      <c r="A1052" s="133"/>
      <c r="B1052" s="127"/>
      <c r="C1052" s="127"/>
      <c r="D1052" s="127" t="s">
        <v>190</v>
      </c>
      <c r="E1052" s="127"/>
      <c r="F1052" s="128"/>
      <c r="G1052" s="129" t="s">
        <v>167</v>
      </c>
      <c r="H1052" s="130" t="s">
        <v>205</v>
      </c>
      <c r="I1052" s="135">
        <f>90803.76+704.04</f>
        <v>91507.799999999988</v>
      </c>
      <c r="J1052" s="39">
        <v>81532.94</v>
      </c>
      <c r="K1052" s="39">
        <f>221739.38-J1052</f>
        <v>140206.44</v>
      </c>
      <c r="L1052" s="39">
        <f t="shared" si="73"/>
        <v>221739.38</v>
      </c>
      <c r="M1052" s="39">
        <v>250000</v>
      </c>
    </row>
    <row r="1053" spans="1:13" ht="18" customHeight="1">
      <c r="A1053" s="133"/>
      <c r="B1053" s="127"/>
      <c r="C1053" s="127"/>
      <c r="D1053" s="127" t="s">
        <v>114</v>
      </c>
      <c r="E1053" s="127"/>
      <c r="F1053" s="128"/>
      <c r="G1053" s="129" t="s">
        <v>168</v>
      </c>
      <c r="H1053" s="130" t="s">
        <v>206</v>
      </c>
      <c r="I1053" s="135">
        <f>2200+200</f>
        <v>2400</v>
      </c>
      <c r="J1053" s="39">
        <v>2400</v>
      </c>
      <c r="K1053" s="39">
        <f>9600-J1053</f>
        <v>7200</v>
      </c>
      <c r="L1053" s="39">
        <f t="shared" si="73"/>
        <v>9600</v>
      </c>
      <c r="M1053" s="39">
        <v>9600</v>
      </c>
    </row>
    <row r="1054" spans="1:13" ht="18" customHeight="1">
      <c r="A1054" s="133"/>
      <c r="B1054" s="127"/>
      <c r="C1054" s="127"/>
      <c r="D1054" s="127" t="s">
        <v>115</v>
      </c>
      <c r="E1054" s="127"/>
      <c r="F1054" s="128"/>
      <c r="G1054" s="129" t="s">
        <v>169</v>
      </c>
      <c r="H1054" s="130" t="s">
        <v>207</v>
      </c>
      <c r="I1054" s="135">
        <v>14903.82</v>
      </c>
      <c r="J1054" s="39">
        <v>17541.759999999998</v>
      </c>
      <c r="K1054" s="39">
        <f>47000-J1054</f>
        <v>29458.240000000002</v>
      </c>
      <c r="L1054" s="39">
        <f t="shared" si="73"/>
        <v>47000</v>
      </c>
      <c r="M1054" s="39">
        <v>52000</v>
      </c>
    </row>
    <row r="1055" spans="1:13" ht="18" customHeight="1">
      <c r="A1055" s="133"/>
      <c r="B1055" s="127"/>
      <c r="C1055" s="127"/>
      <c r="D1055" s="127" t="s">
        <v>189</v>
      </c>
      <c r="E1055" s="127"/>
      <c r="F1055" s="128"/>
      <c r="G1055" s="129" t="s">
        <v>170</v>
      </c>
      <c r="H1055" s="130" t="s">
        <v>208</v>
      </c>
      <c r="I1055" s="135">
        <v>2400</v>
      </c>
      <c r="J1055" s="39">
        <v>1500</v>
      </c>
      <c r="K1055" s="39">
        <f>4800-J1055</f>
        <v>3300</v>
      </c>
      <c r="L1055" s="39">
        <f t="shared" si="73"/>
        <v>4800</v>
      </c>
      <c r="M1055" s="39">
        <v>4800</v>
      </c>
    </row>
    <row r="1056" spans="1:13" ht="18" customHeight="1">
      <c r="A1056" s="133"/>
      <c r="B1056" s="127"/>
      <c r="C1056" s="127"/>
      <c r="D1056" s="127" t="s">
        <v>117</v>
      </c>
      <c r="E1056" s="127"/>
      <c r="F1056" s="128"/>
      <c r="G1056" s="129" t="s">
        <v>67</v>
      </c>
      <c r="H1056" s="130" t="s">
        <v>220</v>
      </c>
      <c r="I1056" s="135"/>
      <c r="J1056" s="39">
        <v>92823.18</v>
      </c>
      <c r="K1056" s="39">
        <f>92823.18-J1056</f>
        <v>0</v>
      </c>
      <c r="L1056" s="39">
        <f t="shared" si="73"/>
        <v>92823.18</v>
      </c>
      <c r="M1056" s="39">
        <v>0</v>
      </c>
    </row>
    <row r="1057" spans="1:13" ht="18" customHeight="1">
      <c r="A1057" s="133"/>
      <c r="B1057" s="127"/>
      <c r="C1057" s="127"/>
      <c r="D1057" s="127" t="s">
        <v>343</v>
      </c>
      <c r="E1057" s="127"/>
      <c r="F1057" s="128"/>
      <c r="G1057" s="129"/>
      <c r="H1057" s="130" t="s">
        <v>220</v>
      </c>
      <c r="I1057" s="135">
        <v>40000</v>
      </c>
      <c r="J1057" s="39">
        <v>0</v>
      </c>
      <c r="K1057" s="39">
        <f>80000-J1057</f>
        <v>80000</v>
      </c>
      <c r="L1057" s="39">
        <f t="shared" si="73"/>
        <v>80000</v>
      </c>
      <c r="M1057" s="39">
        <v>0</v>
      </c>
    </row>
    <row r="1058" spans="1:13" ht="18" customHeight="1">
      <c r="A1058" s="133"/>
      <c r="B1058" s="127"/>
      <c r="C1058" s="127"/>
      <c r="D1058" s="191" t="s">
        <v>423</v>
      </c>
      <c r="E1058" s="127"/>
      <c r="F1058" s="128"/>
      <c r="G1058" s="129"/>
      <c r="H1058" s="130" t="s">
        <v>220</v>
      </c>
      <c r="I1058" s="135">
        <v>60000</v>
      </c>
      <c r="J1058" s="39"/>
      <c r="K1058" s="39">
        <f>120000-J1058</f>
        <v>120000</v>
      </c>
      <c r="L1058" s="39">
        <f t="shared" si="73"/>
        <v>120000</v>
      </c>
      <c r="M1058" s="39"/>
    </row>
    <row r="1059" spans="1:13" ht="18" customHeight="1">
      <c r="A1059" s="139"/>
      <c r="B1059" s="140"/>
      <c r="C1059" s="140"/>
      <c r="D1059" s="140" t="s">
        <v>53</v>
      </c>
      <c r="E1059" s="140"/>
      <c r="F1059" s="141"/>
      <c r="G1059" s="142"/>
      <c r="H1059" s="169"/>
      <c r="I1059" s="143">
        <f>SUM(I1039:I1058)</f>
        <v>1186312.6200000001</v>
      </c>
      <c r="J1059" s="143">
        <f t="shared" ref="J1059:M1059" si="74">SUM(J1039:J1058)</f>
        <v>1300113.29</v>
      </c>
      <c r="K1059" s="143">
        <f t="shared" si="74"/>
        <v>1806897.27</v>
      </c>
      <c r="L1059" s="143">
        <f t="shared" si="74"/>
        <v>3107010.5600000001</v>
      </c>
      <c r="M1059" s="143">
        <f t="shared" si="74"/>
        <v>3109534</v>
      </c>
    </row>
    <row r="1060" spans="1:13" s="97" customFormat="1" ht="18" customHeight="1">
      <c r="A1060" s="133"/>
      <c r="B1060" s="127" t="s">
        <v>118</v>
      </c>
      <c r="C1060" s="127"/>
      <c r="D1060" s="127"/>
      <c r="E1060" s="127"/>
      <c r="F1060" s="128"/>
      <c r="G1060" s="129"/>
      <c r="H1060" s="167"/>
      <c r="I1060" s="135"/>
      <c r="J1060" s="39"/>
      <c r="K1060" s="39"/>
      <c r="L1060" s="39"/>
      <c r="M1060" s="39"/>
    </row>
    <row r="1061" spans="1:13" s="97" customFormat="1" ht="18" customHeight="1">
      <c r="A1061" s="133"/>
      <c r="B1061" s="127"/>
      <c r="C1061" s="127"/>
      <c r="D1061" s="127" t="s">
        <v>119</v>
      </c>
      <c r="E1061" s="127"/>
      <c r="F1061" s="128"/>
      <c r="G1061" s="129" t="s">
        <v>60</v>
      </c>
      <c r="H1061" s="130" t="s">
        <v>210</v>
      </c>
      <c r="I1061" s="135">
        <v>43479</v>
      </c>
      <c r="J1061" s="39">
        <v>6750</v>
      </c>
      <c r="K1061" s="39">
        <f>88000-J1061</f>
        <v>81250</v>
      </c>
      <c r="L1061" s="39">
        <f t="shared" ref="L1061:L1067" si="75">SUM(K1061+J1061)</f>
        <v>88000</v>
      </c>
      <c r="M1061" s="39">
        <v>88000</v>
      </c>
    </row>
    <row r="1062" spans="1:13" s="97" customFormat="1" ht="18" customHeight="1">
      <c r="A1062" s="133"/>
      <c r="B1062" s="127"/>
      <c r="C1062" s="127"/>
      <c r="D1062" s="127" t="s">
        <v>91</v>
      </c>
      <c r="E1062" s="127"/>
      <c r="F1062" s="128"/>
      <c r="G1062" s="129" t="s">
        <v>61</v>
      </c>
      <c r="H1062" s="130" t="s">
        <v>211</v>
      </c>
      <c r="I1062" s="135">
        <v>99581.33</v>
      </c>
      <c r="J1062" s="39">
        <v>0</v>
      </c>
      <c r="K1062" s="39">
        <f>100000-J1062</f>
        <v>100000</v>
      </c>
      <c r="L1062" s="39">
        <f t="shared" si="75"/>
        <v>100000</v>
      </c>
      <c r="M1062" s="39">
        <v>100000</v>
      </c>
    </row>
    <row r="1063" spans="1:13" s="97" customFormat="1" ht="18" customHeight="1">
      <c r="A1063" s="133"/>
      <c r="B1063" s="127"/>
      <c r="C1063" s="127"/>
      <c r="D1063" s="127" t="s">
        <v>58</v>
      </c>
      <c r="E1063" s="127"/>
      <c r="F1063" s="128"/>
      <c r="G1063" s="129" t="s">
        <v>63</v>
      </c>
      <c r="H1063" s="130" t="s">
        <v>212</v>
      </c>
      <c r="I1063" s="135">
        <v>69143</v>
      </c>
      <c r="J1063" s="39">
        <v>4096.66</v>
      </c>
      <c r="K1063" s="39">
        <f>56418.4-J1063</f>
        <v>52321.740000000005</v>
      </c>
      <c r="L1063" s="39">
        <f t="shared" si="75"/>
        <v>56418.400000000009</v>
      </c>
      <c r="M1063" s="39">
        <v>80000</v>
      </c>
    </row>
    <row r="1064" spans="1:13" s="97" customFormat="1" ht="18" customHeight="1">
      <c r="A1064" s="133"/>
      <c r="B1064" s="127"/>
      <c r="C1064" s="127"/>
      <c r="D1064" s="127" t="s">
        <v>125</v>
      </c>
      <c r="E1064" s="127"/>
      <c r="F1064" s="128"/>
      <c r="G1064" s="129" t="s">
        <v>64</v>
      </c>
      <c r="H1064" s="130" t="s">
        <v>214</v>
      </c>
      <c r="I1064" s="135">
        <v>36000</v>
      </c>
      <c r="J1064" s="39">
        <v>35181.82</v>
      </c>
      <c r="K1064" s="39">
        <f>72000-J1064</f>
        <v>36818.18</v>
      </c>
      <c r="L1064" s="39">
        <f t="shared" si="75"/>
        <v>72000</v>
      </c>
      <c r="M1064" s="39">
        <v>48000</v>
      </c>
    </row>
    <row r="1065" spans="1:13" s="97" customFormat="1" ht="18" customHeight="1">
      <c r="A1065" s="133"/>
      <c r="B1065" s="127"/>
      <c r="C1065" s="127"/>
      <c r="D1065" s="127" t="s">
        <v>304</v>
      </c>
      <c r="E1065" s="127"/>
      <c r="F1065" s="128"/>
      <c r="G1065" s="129" t="s">
        <v>65</v>
      </c>
      <c r="H1065" s="130" t="s">
        <v>215</v>
      </c>
      <c r="I1065" s="135">
        <v>8580</v>
      </c>
      <c r="J1065" s="39">
        <v>17500</v>
      </c>
      <c r="K1065" s="39">
        <f>20000-J1065</f>
        <v>2500</v>
      </c>
      <c r="L1065" s="39">
        <f t="shared" si="75"/>
        <v>20000</v>
      </c>
      <c r="M1065" s="39">
        <v>20000</v>
      </c>
    </row>
    <row r="1066" spans="1:13" s="97" customFormat="1" ht="18" customHeight="1">
      <c r="A1066" s="133"/>
      <c r="B1066" s="127"/>
      <c r="C1066" s="127"/>
      <c r="D1066" s="127" t="s">
        <v>131</v>
      </c>
      <c r="E1066" s="127"/>
      <c r="F1066" s="128"/>
      <c r="G1066" s="129" t="s">
        <v>66</v>
      </c>
      <c r="H1066" s="130" t="s">
        <v>216</v>
      </c>
      <c r="I1066" s="135"/>
      <c r="J1066" s="39">
        <v>6640</v>
      </c>
      <c r="K1066" s="39">
        <f>15000-J1066</f>
        <v>8360</v>
      </c>
      <c r="L1066" s="39">
        <f t="shared" si="75"/>
        <v>15000</v>
      </c>
      <c r="M1066" s="39">
        <v>15000</v>
      </c>
    </row>
    <row r="1067" spans="1:13" ht="18" customHeight="1">
      <c r="A1067" s="133"/>
      <c r="B1067" s="127"/>
      <c r="C1067" s="127"/>
      <c r="D1067" s="127" t="s">
        <v>366</v>
      </c>
      <c r="E1067" s="127"/>
      <c r="F1067" s="128"/>
      <c r="G1067" s="129"/>
      <c r="H1067" s="130" t="s">
        <v>216</v>
      </c>
      <c r="I1067" s="135"/>
      <c r="J1067" s="39"/>
      <c r="K1067" s="39">
        <f>0-J1067</f>
        <v>0</v>
      </c>
      <c r="L1067" s="39">
        <f t="shared" si="75"/>
        <v>0</v>
      </c>
      <c r="M1067" s="39">
        <v>0</v>
      </c>
    </row>
    <row r="1068" spans="1:13" ht="18" customHeight="1">
      <c r="A1068" s="139"/>
      <c r="B1068" s="140"/>
      <c r="C1068" s="140"/>
      <c r="D1068" s="140" t="s">
        <v>244</v>
      </c>
      <c r="E1068" s="140"/>
      <c r="F1068" s="141"/>
      <c r="G1068" s="142"/>
      <c r="H1068" s="169"/>
      <c r="I1068" s="143">
        <f>SUM(I1061:I1067)</f>
        <v>256783.33000000002</v>
      </c>
      <c r="J1068" s="143">
        <f>SUM(J1061:J1067)</f>
        <v>70168.479999999996</v>
      </c>
      <c r="K1068" s="143">
        <f>SUM(K1061:K1067)</f>
        <v>281249.91999999998</v>
      </c>
      <c r="L1068" s="143">
        <f>SUM(L1061:L1067)</f>
        <v>351418.4</v>
      </c>
      <c r="M1068" s="143">
        <f>SUM(M1061:M1067)</f>
        <v>351000</v>
      </c>
    </row>
    <row r="1069" spans="1:13" s="97" customFormat="1" ht="18" customHeight="1">
      <c r="A1069" s="133"/>
      <c r="B1069" s="127" t="s">
        <v>132</v>
      </c>
      <c r="C1069" s="127"/>
      <c r="D1069" s="127"/>
      <c r="E1069" s="127"/>
      <c r="F1069" s="128"/>
      <c r="G1069" s="129"/>
      <c r="H1069" s="167"/>
      <c r="I1069" s="135"/>
      <c r="J1069" s="39"/>
      <c r="K1069" s="39"/>
      <c r="L1069" s="39"/>
      <c r="M1069" s="39"/>
    </row>
    <row r="1070" spans="1:13" s="97" customFormat="1" ht="18" customHeight="1">
      <c r="A1070" s="133"/>
      <c r="B1070" s="127"/>
      <c r="C1070" s="127"/>
      <c r="D1070" s="127" t="s">
        <v>195</v>
      </c>
      <c r="E1070" s="127"/>
      <c r="F1070" s="128"/>
      <c r="G1070" s="129" t="s">
        <v>285</v>
      </c>
      <c r="H1070" s="130" t="s">
        <v>286</v>
      </c>
      <c r="I1070" s="135">
        <v>0</v>
      </c>
      <c r="J1070" s="39">
        <v>0</v>
      </c>
      <c r="K1070" s="39">
        <f>0-J1070</f>
        <v>0</v>
      </c>
      <c r="L1070" s="39">
        <f>SUM(K1070+J1070)</f>
        <v>0</v>
      </c>
      <c r="M1070" s="39">
        <v>0</v>
      </c>
    </row>
    <row r="1071" spans="1:13" s="97" customFormat="1" ht="18" customHeight="1">
      <c r="A1071" s="133"/>
      <c r="B1071" s="127"/>
      <c r="C1071" s="127"/>
      <c r="D1071" s="127" t="s">
        <v>284</v>
      </c>
      <c r="E1071" s="127"/>
      <c r="F1071" s="128"/>
      <c r="G1071" s="129" t="s">
        <v>287</v>
      </c>
      <c r="H1071" s="130" t="s">
        <v>348</v>
      </c>
      <c r="I1071" s="135">
        <v>0</v>
      </c>
      <c r="J1071" s="39">
        <v>0</v>
      </c>
      <c r="K1071" s="39">
        <v>0</v>
      </c>
      <c r="L1071" s="39">
        <f t="shared" ref="L1071" si="76">SUM(K1071+J1071)</f>
        <v>0</v>
      </c>
      <c r="M1071" s="39">
        <v>70000</v>
      </c>
    </row>
    <row r="1072" spans="1:13" s="97" customFormat="1" ht="18" customHeight="1">
      <c r="A1072" s="133"/>
      <c r="B1072" s="127"/>
      <c r="C1072" s="127"/>
      <c r="D1072" s="127" t="s">
        <v>288</v>
      </c>
      <c r="E1072" s="127"/>
      <c r="F1072" s="128"/>
      <c r="G1072" s="129" t="s">
        <v>289</v>
      </c>
      <c r="H1072" s="130" t="s">
        <v>290</v>
      </c>
      <c r="I1072" s="135">
        <v>0</v>
      </c>
      <c r="J1072" s="39">
        <v>0</v>
      </c>
      <c r="K1072" s="39">
        <v>0</v>
      </c>
      <c r="L1072" s="39">
        <f>SUM(K1072+J1072)</f>
        <v>0</v>
      </c>
      <c r="M1072" s="39">
        <v>100000</v>
      </c>
    </row>
    <row r="1073" spans="1:13" ht="18" customHeight="1">
      <c r="A1073" s="139"/>
      <c r="B1073" s="140"/>
      <c r="C1073" s="140"/>
      <c r="D1073" s="140" t="s">
        <v>245</v>
      </c>
      <c r="E1073" s="140"/>
      <c r="F1073" s="141"/>
      <c r="G1073" s="142"/>
      <c r="H1073" s="169"/>
      <c r="I1073" s="143">
        <f>SUM(I1070:I1072)</f>
        <v>0</v>
      </c>
      <c r="J1073" s="143">
        <f>SUM(J1070:J1072)</f>
        <v>0</v>
      </c>
      <c r="K1073" s="143">
        <f>SUM(K1070:K1072)</f>
        <v>0</v>
      </c>
      <c r="L1073" s="143">
        <f>SUM(L1070:L1072)</f>
        <v>0</v>
      </c>
      <c r="M1073" s="143">
        <f>SUM(M1070:M1072)</f>
        <v>170000</v>
      </c>
    </row>
    <row r="1074" spans="1:13" ht="18" customHeight="1">
      <c r="A1074" s="139"/>
      <c r="B1074" s="140"/>
      <c r="C1074" s="140"/>
      <c r="D1074" s="140"/>
      <c r="E1074" s="140"/>
      <c r="F1074" s="141"/>
      <c r="G1074" s="142"/>
      <c r="H1074" s="169"/>
      <c r="I1074" s="143"/>
      <c r="J1074" s="46"/>
      <c r="K1074" s="46"/>
      <c r="L1074" s="46"/>
      <c r="M1074" s="46"/>
    </row>
    <row r="1075" spans="1:13" ht="18" customHeight="1" thickBot="1">
      <c r="A1075" s="146" t="s">
        <v>187</v>
      </c>
      <c r="B1075" s="148"/>
      <c r="C1075" s="148"/>
      <c r="D1075" s="148"/>
      <c r="E1075" s="148"/>
      <c r="F1075" s="149"/>
      <c r="G1075" s="166"/>
      <c r="H1075" s="170"/>
      <c r="I1075" s="152">
        <f>SUM(I1073+I1068+I1059)</f>
        <v>1443095.9500000002</v>
      </c>
      <c r="J1075" s="152">
        <f>SUM(J1073+J1068+J1059)</f>
        <v>1370281.77</v>
      </c>
      <c r="K1075" s="152">
        <f>SUM(K1073+K1068+K1059)</f>
        <v>2088147.19</v>
      </c>
      <c r="L1075" s="152">
        <f>SUM(L1073+L1068+L1059)</f>
        <v>3458428.96</v>
      </c>
      <c r="M1075" s="152">
        <f>SUM(M1073+M1068+M1059)</f>
        <v>3630534</v>
      </c>
    </row>
    <row r="1076" spans="1:13" ht="18" customHeight="1" thickBot="1">
      <c r="A1076" s="180"/>
      <c r="B1076" s="181"/>
      <c r="C1076" s="182"/>
      <c r="D1076" s="182"/>
      <c r="E1076" s="182"/>
      <c r="F1076" s="183" t="s">
        <v>417</v>
      </c>
      <c r="G1076" s="179"/>
      <c r="H1076" s="184"/>
      <c r="I1076" s="185">
        <f>I200+I268+I329+I392+I456+I525+I596+I661+I732+I809+I877+I945+I1009+I1075</f>
        <v>195410473.06999999</v>
      </c>
      <c r="J1076" s="185">
        <f t="shared" ref="J1076:M1076" si="77">J200+J268+J329+J392+J456+J525+J596+J661+J732+J809+J877+J945+J1009+J1075</f>
        <v>96037136.969999984</v>
      </c>
      <c r="K1076" s="185">
        <f t="shared" si="77"/>
        <v>149793622.375</v>
      </c>
      <c r="L1076" s="185">
        <f t="shared" si="77"/>
        <v>245830759.34500009</v>
      </c>
      <c r="M1076" s="185">
        <f t="shared" si="77"/>
        <v>259250296.71000001</v>
      </c>
    </row>
    <row r="1077" spans="1:13" ht="18" customHeight="1">
      <c r="A1077" s="35"/>
      <c r="B1077" s="53"/>
      <c r="C1077" s="35"/>
      <c r="D1077" s="35"/>
      <c r="E1077" s="35"/>
      <c r="F1077" s="53"/>
      <c r="G1077" s="53"/>
      <c r="H1077" s="57"/>
      <c r="I1077" s="57"/>
      <c r="J1077" s="236"/>
      <c r="K1077" s="236"/>
      <c r="L1077" s="236"/>
      <c r="M1077" s="236"/>
    </row>
    <row r="1078" spans="1:13" ht="18" customHeight="1">
      <c r="A1078" s="241" t="s">
        <v>490</v>
      </c>
      <c r="B1078" s="241"/>
      <c r="C1078" s="241"/>
      <c r="D1078" s="241"/>
      <c r="E1078" s="241"/>
      <c r="F1078" s="241"/>
      <c r="G1078" s="241"/>
      <c r="H1078" s="241"/>
      <c r="I1078" s="241"/>
      <c r="J1078" s="241"/>
      <c r="K1078" s="241"/>
      <c r="L1078" s="241"/>
      <c r="M1078" s="241"/>
    </row>
    <row r="1079" spans="1:13" s="97" customFormat="1" ht="18" customHeight="1">
      <c r="A1079" s="386" t="s">
        <v>371</v>
      </c>
      <c r="B1079" s="386"/>
      <c r="C1079" s="386"/>
      <c r="D1079" s="386"/>
      <c r="E1079" s="386"/>
      <c r="F1079" s="386"/>
      <c r="G1079" s="386"/>
      <c r="H1079" s="386"/>
      <c r="I1079" s="386"/>
      <c r="J1079" s="386"/>
      <c r="K1079" s="386"/>
      <c r="L1079" s="386"/>
      <c r="M1079" s="386"/>
    </row>
    <row r="1080" spans="1:13" s="97" customFormat="1" ht="18" customHeight="1">
      <c r="A1080" s="246" t="s">
        <v>491</v>
      </c>
      <c r="B1080" s="242"/>
      <c r="C1080" s="92"/>
      <c r="D1080" s="242"/>
      <c r="E1080" s="242"/>
      <c r="F1080" s="92"/>
      <c r="G1080" s="242"/>
      <c r="H1080" s="242"/>
      <c r="I1080" s="242" t="s">
        <v>492</v>
      </c>
      <c r="J1080" s="242"/>
      <c r="K1080" s="242"/>
      <c r="L1080" s="242" t="s">
        <v>493</v>
      </c>
      <c r="M1080" s="242"/>
    </row>
    <row r="1081" spans="1:13" s="97" customFormat="1" ht="18" customHeight="1">
      <c r="A1081" s="247"/>
      <c r="B1081" s="94"/>
      <c r="C1081" s="92"/>
      <c r="D1081" s="93"/>
      <c r="E1081" s="93"/>
      <c r="F1081" s="92"/>
      <c r="G1081" s="93"/>
      <c r="H1081" s="92"/>
      <c r="I1081" s="93"/>
      <c r="J1081" s="96"/>
      <c r="K1081" s="60"/>
      <c r="L1081" s="95"/>
      <c r="M1081" s="61"/>
    </row>
    <row r="1082" spans="1:13" s="97" customFormat="1" ht="18" customHeight="1">
      <c r="A1082" s="409" t="s">
        <v>526</v>
      </c>
      <c r="B1082" s="404"/>
      <c r="C1082" s="404"/>
      <c r="D1082" s="404"/>
      <c r="E1082" s="404"/>
      <c r="F1082" s="404"/>
      <c r="G1082" s="94"/>
      <c r="H1082" s="243"/>
      <c r="I1082" s="404" t="s">
        <v>494</v>
      </c>
      <c r="J1082" s="404"/>
      <c r="K1082" s="58"/>
      <c r="L1082" s="404" t="s">
        <v>328</v>
      </c>
      <c r="M1082" s="404"/>
    </row>
    <row r="1083" spans="1:13" s="97" customFormat="1" ht="18" customHeight="1">
      <c r="A1083" s="410" t="s">
        <v>495</v>
      </c>
      <c r="B1083" s="405"/>
      <c r="C1083" s="405"/>
      <c r="D1083" s="405"/>
      <c r="E1083" s="405"/>
      <c r="F1083" s="405"/>
      <c r="G1083" s="15"/>
      <c r="H1083" s="15"/>
      <c r="I1083" s="406" t="s">
        <v>496</v>
      </c>
      <c r="J1083" s="406"/>
      <c r="K1083" s="15"/>
      <c r="L1083" s="405" t="s">
        <v>497</v>
      </c>
      <c r="M1083" s="405"/>
    </row>
    <row r="1084" spans="1:13" s="97" customFormat="1" ht="18" customHeight="1">
      <c r="A1084" s="98"/>
      <c r="B1084" s="98"/>
      <c r="C1084" s="98"/>
      <c r="D1084" s="98"/>
      <c r="E1084" s="98"/>
      <c r="F1084" s="98"/>
      <c r="G1084" s="98"/>
      <c r="H1084" s="98"/>
      <c r="I1084" s="98"/>
      <c r="J1084" s="98"/>
      <c r="K1084" s="98"/>
      <c r="L1084" s="98"/>
      <c r="M1084" s="98"/>
    </row>
    <row r="1085" spans="1:13" s="97" customFormat="1" ht="18" customHeight="1">
      <c r="A1085" s="98"/>
      <c r="B1085" s="98"/>
      <c r="C1085" s="98"/>
      <c r="D1085" s="98"/>
      <c r="E1085" s="98"/>
      <c r="F1085" s="98"/>
      <c r="G1085" s="98"/>
      <c r="H1085" s="98"/>
      <c r="I1085" s="98"/>
      <c r="J1085" s="98"/>
      <c r="K1085" s="98"/>
      <c r="L1085" s="98"/>
      <c r="M1085" s="98"/>
    </row>
    <row r="1086" spans="1:13" s="97" customFormat="1" ht="18" customHeight="1">
      <c r="A1086" s="98"/>
      <c r="B1086" s="98"/>
      <c r="C1086" s="98"/>
      <c r="D1086" s="98"/>
      <c r="E1086" s="98"/>
      <c r="F1086" s="98"/>
      <c r="G1086" s="98"/>
      <c r="H1086" s="98"/>
      <c r="I1086" s="98"/>
      <c r="J1086" s="98"/>
      <c r="K1086" s="98"/>
      <c r="L1086" s="98"/>
      <c r="M1086" s="98"/>
    </row>
    <row r="1087" spans="1:13" s="97" customFormat="1" ht="18" customHeight="1">
      <c r="A1087" s="98"/>
      <c r="B1087" s="98"/>
      <c r="C1087" s="98"/>
      <c r="D1087" s="98"/>
      <c r="E1087" s="98"/>
      <c r="F1087" s="98"/>
      <c r="G1087" s="98"/>
      <c r="H1087" s="98"/>
      <c r="I1087" s="98"/>
      <c r="J1087" s="98"/>
      <c r="K1087" s="98"/>
      <c r="L1087" s="98"/>
      <c r="M1087" s="98"/>
    </row>
    <row r="1088" spans="1:13" s="97" customFormat="1" ht="18" customHeight="1">
      <c r="A1088" s="98"/>
      <c r="B1088" s="98"/>
      <c r="C1088" s="98"/>
      <c r="D1088" s="98"/>
      <c r="E1088" s="98"/>
      <c r="F1088" s="98"/>
      <c r="G1088" s="98"/>
      <c r="H1088" s="98"/>
      <c r="I1088" s="98"/>
      <c r="J1088" s="98"/>
      <c r="K1088" s="98"/>
      <c r="L1088" s="98"/>
      <c r="M1088" s="98"/>
    </row>
    <row r="1089" spans="1:13" s="92" customFormat="1" ht="18" customHeight="1">
      <c r="A1089" s="93"/>
      <c r="B1089" s="94"/>
      <c r="C1089" s="93"/>
      <c r="D1089" s="93"/>
      <c r="E1089" s="93"/>
      <c r="F1089" s="95"/>
      <c r="G1089" s="93"/>
      <c r="H1089" s="96"/>
      <c r="I1089" s="96"/>
      <c r="K1089" s="61"/>
      <c r="L1089" s="61"/>
      <c r="M1089" s="55"/>
    </row>
    <row r="1090" spans="1:13" s="92" customFormat="1" ht="18" customHeight="1">
      <c r="A1090" s="93"/>
      <c r="B1090" s="94"/>
      <c r="C1090" s="93"/>
      <c r="D1090" s="93"/>
      <c r="E1090" s="93"/>
      <c r="F1090" s="95"/>
      <c r="G1090" s="93"/>
      <c r="H1090" s="96"/>
      <c r="I1090" s="96"/>
      <c r="K1090" s="61"/>
      <c r="L1090" s="61"/>
      <c r="M1090" s="55"/>
    </row>
    <row r="1091" spans="1:13" s="103" customFormat="1" ht="20.100000000000001" customHeight="1">
      <c r="A1091" s="402"/>
      <c r="B1091" s="402"/>
      <c r="C1091" s="402"/>
      <c r="D1091" s="402"/>
      <c r="E1091" s="402"/>
      <c r="F1091" s="402"/>
      <c r="G1091" s="402"/>
      <c r="H1091" s="402"/>
      <c r="I1091" s="402"/>
      <c r="J1091" s="402"/>
      <c r="K1091" s="402"/>
      <c r="L1091" s="402"/>
      <c r="M1091" s="402"/>
    </row>
    <row r="1092" spans="1:13" s="33" customFormat="1" ht="18" customHeight="1">
      <c r="A1092" s="32"/>
      <c r="B1092" s="31"/>
      <c r="C1092" s="32"/>
      <c r="D1092" s="32"/>
      <c r="E1092" s="32"/>
      <c r="F1092" s="59"/>
      <c r="G1092" s="32"/>
      <c r="H1092" s="54"/>
      <c r="I1092" s="54"/>
      <c r="K1092" s="61"/>
      <c r="L1092" s="61"/>
      <c r="M1092" s="55"/>
    </row>
    <row r="1093" spans="1:13" s="81" customFormat="1" ht="15" customHeight="1">
      <c r="A1093" s="399" t="s">
        <v>481</v>
      </c>
      <c r="B1093" s="399"/>
      <c r="C1093" s="399"/>
      <c r="D1093" s="399"/>
      <c r="E1093" s="399"/>
      <c r="F1093" s="399"/>
      <c r="G1093" s="399"/>
      <c r="H1093" s="399"/>
      <c r="I1093" s="399"/>
      <c r="J1093" s="399"/>
      <c r="K1093" s="399"/>
      <c r="L1093" s="399"/>
      <c r="M1093" s="399"/>
    </row>
    <row r="1094" spans="1:13" s="81" customFormat="1" ht="15" customHeight="1">
      <c r="A1094" s="15"/>
      <c r="B1094" s="15"/>
      <c r="C1094" s="15"/>
      <c r="D1094" s="15"/>
      <c r="E1094" s="15"/>
      <c r="F1094" s="15"/>
      <c r="G1094" s="15"/>
      <c r="H1094" s="15"/>
      <c r="I1094" s="248"/>
      <c r="J1094" s="248"/>
      <c r="K1094" s="248"/>
      <c r="L1094" s="248"/>
      <c r="M1094" s="248"/>
    </row>
    <row r="1095" spans="1:13" s="81" customFormat="1" ht="15" customHeight="1">
      <c r="A1095" s="238" t="s">
        <v>482</v>
      </c>
      <c r="B1095" s="238"/>
      <c r="C1095" s="238"/>
      <c r="D1095" s="239"/>
      <c r="E1095" s="239"/>
      <c r="F1095" s="238" t="s">
        <v>483</v>
      </c>
      <c r="G1095" s="238"/>
      <c r="H1095" s="238"/>
      <c r="I1095" s="238"/>
      <c r="J1095" s="238" t="s">
        <v>484</v>
      </c>
      <c r="K1095" s="238" t="str">
        <f>$K$9</f>
        <v>2025</v>
      </c>
      <c r="L1095" s="238"/>
      <c r="M1095" s="238"/>
    </row>
    <row r="1096" spans="1:13" s="81" customFormat="1" ht="15" customHeight="1">
      <c r="A1096" s="238" t="s">
        <v>485</v>
      </c>
      <c r="B1096" s="238"/>
      <c r="C1096" s="238"/>
      <c r="D1096" s="239"/>
      <c r="E1096" s="238"/>
      <c r="F1096" s="238" t="s">
        <v>486</v>
      </c>
      <c r="G1096" s="238"/>
      <c r="H1096" s="238"/>
      <c r="I1096" s="238"/>
      <c r="J1096" s="238" t="s">
        <v>487</v>
      </c>
      <c r="K1096" s="94" t="s">
        <v>527</v>
      </c>
      <c r="L1096" s="238"/>
      <c r="M1096" s="238"/>
    </row>
    <row r="1097" spans="1:13" s="81" customFormat="1" ht="15" customHeight="1">
      <c r="A1097" s="238" t="s">
        <v>489</v>
      </c>
      <c r="B1097" s="238"/>
      <c r="C1097" s="238"/>
      <c r="D1097" s="238"/>
      <c r="E1097" s="238"/>
      <c r="F1097" s="238"/>
      <c r="G1097" s="238"/>
      <c r="H1097" s="238"/>
      <c r="I1097" s="238"/>
      <c r="J1097" s="238"/>
      <c r="K1097" s="238"/>
      <c r="L1097" s="238"/>
      <c r="M1097" s="238"/>
    </row>
    <row r="1098" spans="1:13" s="81" customFormat="1" ht="15" customHeight="1">
      <c r="A1098" s="94"/>
      <c r="B1098" s="94"/>
      <c r="C1098" s="94"/>
      <c r="D1098" s="94"/>
      <c r="E1098" s="94"/>
      <c r="F1098" s="94"/>
      <c r="G1098" s="94"/>
      <c r="H1098" s="94"/>
      <c r="I1098" s="94"/>
      <c r="J1098" s="94"/>
      <c r="K1098" s="94"/>
      <c r="L1098" s="94"/>
      <c r="M1098" s="94"/>
    </row>
    <row r="1099" spans="1:13" s="81" customFormat="1" ht="15" customHeight="1">
      <c r="A1099" s="82"/>
      <c r="B1099" s="82"/>
      <c r="C1099" s="82"/>
      <c r="D1099" s="82"/>
      <c r="E1099" s="82"/>
      <c r="F1099" s="82"/>
      <c r="G1099" s="82"/>
      <c r="H1099" s="82"/>
      <c r="I1099" s="82"/>
      <c r="J1099" s="82"/>
      <c r="K1099" s="82"/>
      <c r="L1099" s="82"/>
      <c r="M1099" s="82"/>
    </row>
    <row r="1100" spans="1:13" s="33" customFormat="1" ht="18" customHeight="1" thickBot="1">
      <c r="A1100" s="400"/>
      <c r="B1100" s="400"/>
      <c r="C1100" s="400"/>
      <c r="D1100" s="400"/>
      <c r="E1100" s="400"/>
      <c r="F1100" s="400"/>
      <c r="G1100" s="400"/>
      <c r="H1100" s="400"/>
      <c r="I1100" s="400"/>
      <c r="J1100" s="400"/>
      <c r="K1100" s="400"/>
      <c r="L1100" s="400"/>
      <c r="M1100" s="400"/>
    </row>
    <row r="1101" spans="1:13" ht="18" customHeight="1">
      <c r="A1101" s="192"/>
      <c r="B1101" s="193"/>
      <c r="C1101" s="193"/>
      <c r="D1101" s="193"/>
      <c r="E1101" s="193"/>
      <c r="F1101" s="194"/>
      <c r="G1101" s="195"/>
      <c r="H1101" s="196"/>
      <c r="I1101" s="196" t="s">
        <v>3</v>
      </c>
      <c r="J1101" s="394" t="s">
        <v>188</v>
      </c>
      <c r="K1101" s="395"/>
      <c r="L1101" s="396"/>
      <c r="M1101" s="197" t="s">
        <v>4</v>
      </c>
    </row>
    <row r="1102" spans="1:13" ht="18" customHeight="1">
      <c r="A1102" s="388"/>
      <c r="B1102" s="389"/>
      <c r="C1102" s="389"/>
      <c r="D1102" s="389"/>
      <c r="E1102" s="389"/>
      <c r="F1102" s="390"/>
      <c r="G1102" s="199"/>
      <c r="H1102" s="200"/>
      <c r="I1102" s="200">
        <v>2023</v>
      </c>
      <c r="J1102" s="200" t="s">
        <v>137</v>
      </c>
      <c r="K1102" s="200" t="s">
        <v>138</v>
      </c>
      <c r="L1102" s="200">
        <v>2024</v>
      </c>
      <c r="M1102" s="201">
        <v>2025</v>
      </c>
    </row>
    <row r="1103" spans="1:13" ht="18" customHeight="1">
      <c r="A1103" s="388" t="s">
        <v>8</v>
      </c>
      <c r="B1103" s="389"/>
      <c r="C1103" s="389"/>
      <c r="D1103" s="389"/>
      <c r="E1103" s="389"/>
      <c r="F1103" s="390"/>
      <c r="G1103" s="202"/>
      <c r="H1103" s="203" t="s">
        <v>186</v>
      </c>
      <c r="I1103" s="200" t="s">
        <v>311</v>
      </c>
      <c r="J1103" s="200" t="s">
        <v>136</v>
      </c>
      <c r="K1103" s="200" t="s">
        <v>139</v>
      </c>
      <c r="L1103" s="200" t="s">
        <v>311</v>
      </c>
      <c r="M1103" s="201" t="s">
        <v>311</v>
      </c>
    </row>
    <row r="1104" spans="1:13" ht="18" customHeight="1">
      <c r="A1104" s="204"/>
      <c r="B1104" s="99"/>
      <c r="C1104" s="99"/>
      <c r="D1104" s="99"/>
      <c r="E1104" s="99"/>
      <c r="F1104" s="205"/>
      <c r="G1104" s="202"/>
      <c r="H1104" s="200"/>
      <c r="I1104" s="200" t="s">
        <v>136</v>
      </c>
      <c r="J1104" s="200">
        <v>2024</v>
      </c>
      <c r="K1104" s="200">
        <v>2024</v>
      </c>
      <c r="L1104" s="200" t="s">
        <v>312</v>
      </c>
      <c r="M1104" s="201" t="s">
        <v>140</v>
      </c>
    </row>
    <row r="1105" spans="1:13" ht="18" customHeight="1" thickBot="1">
      <c r="A1105" s="391"/>
      <c r="B1105" s="392"/>
      <c r="C1105" s="392"/>
      <c r="D1105" s="392"/>
      <c r="E1105" s="392"/>
      <c r="F1105" s="393"/>
      <c r="G1105" s="206"/>
      <c r="H1105" s="207"/>
      <c r="I1105" s="207"/>
      <c r="J1105" s="207"/>
      <c r="K1105" s="207"/>
      <c r="L1105" s="207"/>
      <c r="M1105" s="208"/>
    </row>
    <row r="1106" spans="1:13" ht="18" customHeight="1">
      <c r="A1106" s="209"/>
      <c r="B1106" s="210" t="s">
        <v>51</v>
      </c>
      <c r="C1106" s="211"/>
      <c r="D1106" s="210"/>
      <c r="E1106" s="210"/>
      <c r="F1106" s="212"/>
      <c r="G1106" s="213"/>
      <c r="H1106" s="225"/>
      <c r="I1106" s="226"/>
      <c r="J1106" s="62"/>
      <c r="K1106" s="62"/>
      <c r="L1106" s="62"/>
      <c r="M1106" s="62"/>
    </row>
    <row r="1107" spans="1:13" ht="18" customHeight="1">
      <c r="A1107" s="133"/>
      <c r="B1107" s="127"/>
      <c r="C1107" s="127" t="s">
        <v>102</v>
      </c>
      <c r="D1107" s="127"/>
      <c r="E1107" s="127"/>
      <c r="F1107" s="128"/>
      <c r="G1107" s="129"/>
      <c r="H1107" s="167"/>
      <c r="I1107" s="168"/>
      <c r="J1107" s="63"/>
      <c r="K1107" s="63"/>
      <c r="L1107" s="63"/>
      <c r="M1107" s="63"/>
    </row>
    <row r="1108" spans="1:13" ht="18" customHeight="1">
      <c r="A1108" s="133"/>
      <c r="B1108" s="127"/>
      <c r="C1108" s="127"/>
      <c r="D1108" s="127" t="s">
        <v>103</v>
      </c>
      <c r="E1108" s="127"/>
      <c r="F1108" s="128"/>
      <c r="G1108" s="129" t="s">
        <v>156</v>
      </c>
      <c r="H1108" s="130" t="s">
        <v>196</v>
      </c>
      <c r="I1108" s="135">
        <v>3851850.44</v>
      </c>
      <c r="J1108" s="39">
        <v>1896992.9</v>
      </c>
      <c r="K1108" s="39">
        <f>4155797-J1108</f>
        <v>2258804.1</v>
      </c>
      <c r="L1108" s="39">
        <f>SUM(K1108+J1108)</f>
        <v>4155797</v>
      </c>
      <c r="M1108" s="39">
        <v>4572259</v>
      </c>
    </row>
    <row r="1109" spans="1:13" ht="18" customHeight="1">
      <c r="A1109" s="133"/>
      <c r="B1109" s="127"/>
      <c r="C1109" s="127"/>
      <c r="D1109" s="127" t="s">
        <v>90</v>
      </c>
      <c r="E1109" s="127"/>
      <c r="F1109" s="128"/>
      <c r="G1109" s="129" t="s">
        <v>69</v>
      </c>
      <c r="H1109" s="130" t="s">
        <v>235</v>
      </c>
      <c r="I1109" s="135"/>
      <c r="J1109" s="39"/>
      <c r="K1109" s="39">
        <f>0-J1109</f>
        <v>0</v>
      </c>
      <c r="L1109" s="39">
        <f>SUM(K1109+J1109)</f>
        <v>0</v>
      </c>
      <c r="M1109" s="39">
        <v>0</v>
      </c>
    </row>
    <row r="1110" spans="1:13" ht="18" customHeight="1">
      <c r="A1110" s="133"/>
      <c r="B1110" s="127"/>
      <c r="C1110" s="127" t="s">
        <v>104</v>
      </c>
      <c r="D1110" s="127"/>
      <c r="E1110" s="127"/>
      <c r="F1110" s="128"/>
      <c r="G1110" s="129"/>
      <c r="H1110" s="167"/>
      <c r="I1110" s="135"/>
      <c r="J1110" s="39"/>
      <c r="K1110" s="39"/>
      <c r="L1110" s="39"/>
      <c r="M1110" s="39"/>
    </row>
    <row r="1111" spans="1:13" ht="18" customHeight="1">
      <c r="A1111" s="133"/>
      <c r="B1111" s="127"/>
      <c r="C1111" s="127"/>
      <c r="D1111" s="127" t="s">
        <v>105</v>
      </c>
      <c r="E1111" s="127"/>
      <c r="F1111" s="128"/>
      <c r="G1111" s="129" t="s">
        <v>157</v>
      </c>
      <c r="H1111" s="130" t="s">
        <v>197</v>
      </c>
      <c r="I1111" s="135">
        <v>529000</v>
      </c>
      <c r="J1111" s="39">
        <v>264000</v>
      </c>
      <c r="K1111" s="39">
        <f>576000-J1111</f>
        <v>312000</v>
      </c>
      <c r="L1111" s="39">
        <f t="shared" ref="L1111:L1131" si="78">SUM(K1111+J1111)</f>
        <v>576000</v>
      </c>
      <c r="M1111" s="39">
        <v>576000</v>
      </c>
    </row>
    <row r="1112" spans="1:13" ht="18" customHeight="1">
      <c r="A1112" s="133"/>
      <c r="B1112" s="127"/>
      <c r="C1112" s="127"/>
      <c r="D1112" s="127" t="s">
        <v>108</v>
      </c>
      <c r="E1112" s="127"/>
      <c r="F1112" s="128"/>
      <c r="G1112" s="129" t="s">
        <v>160</v>
      </c>
      <c r="H1112" s="130" t="s">
        <v>200</v>
      </c>
      <c r="I1112" s="135">
        <v>132000</v>
      </c>
      <c r="J1112" s="39">
        <v>154000</v>
      </c>
      <c r="K1112" s="39">
        <f>168000-J1112</f>
        <v>14000</v>
      </c>
      <c r="L1112" s="39">
        <f t="shared" si="78"/>
        <v>168000</v>
      </c>
      <c r="M1112" s="39">
        <v>168000</v>
      </c>
    </row>
    <row r="1113" spans="1:13" ht="18" customHeight="1">
      <c r="A1113" s="133"/>
      <c r="B1113" s="127"/>
      <c r="C1113" s="127"/>
      <c r="D1113" s="127" t="s">
        <v>344</v>
      </c>
      <c r="E1113" s="127"/>
      <c r="F1113" s="128"/>
      <c r="G1113" s="129" t="s">
        <v>161</v>
      </c>
      <c r="H1113" s="130" t="s">
        <v>217</v>
      </c>
      <c r="I1113" s="135">
        <v>17850</v>
      </c>
      <c r="J1113" s="39"/>
      <c r="K1113" s="39">
        <f>19800-J1113</f>
        <v>19800</v>
      </c>
      <c r="L1113" s="39">
        <f t="shared" si="78"/>
        <v>19800</v>
      </c>
      <c r="M1113" s="39">
        <v>19800</v>
      </c>
    </row>
    <row r="1114" spans="1:13" ht="18" customHeight="1">
      <c r="A1114" s="133"/>
      <c r="B1114" s="127"/>
      <c r="C1114" s="127"/>
      <c r="D1114" s="127" t="s">
        <v>194</v>
      </c>
      <c r="E1114" s="127"/>
      <c r="F1114" s="128"/>
      <c r="G1114" s="129" t="s">
        <v>162</v>
      </c>
      <c r="H1114" s="130" t="s">
        <v>201</v>
      </c>
      <c r="I1114" s="135">
        <v>115000</v>
      </c>
      <c r="J1114" s="39"/>
      <c r="K1114" s="39">
        <f>120000-J1114</f>
        <v>120000</v>
      </c>
      <c r="L1114" s="39">
        <f t="shared" si="78"/>
        <v>120000</v>
      </c>
      <c r="M1114" s="39">
        <v>120000</v>
      </c>
    </row>
    <row r="1115" spans="1:13" ht="18" customHeight="1">
      <c r="A1115" s="133"/>
      <c r="B1115" s="127"/>
      <c r="C1115" s="127"/>
      <c r="D1115" s="127" t="s">
        <v>110</v>
      </c>
      <c r="E1115" s="127"/>
      <c r="F1115" s="128"/>
      <c r="G1115" s="129" t="s">
        <v>92</v>
      </c>
      <c r="H1115" s="130" t="s">
        <v>202</v>
      </c>
      <c r="I1115" s="135"/>
      <c r="J1115" s="39">
        <v>10000</v>
      </c>
      <c r="K1115" s="39">
        <f>20000-J1115</f>
        <v>10000</v>
      </c>
      <c r="L1115" s="39">
        <f t="shared" si="78"/>
        <v>20000</v>
      </c>
      <c r="M1115" s="39">
        <v>15000</v>
      </c>
    </row>
    <row r="1116" spans="1:13" ht="18" customHeight="1">
      <c r="A1116" s="133"/>
      <c r="B1116" s="127"/>
      <c r="C1116" s="127"/>
      <c r="D1116" s="127" t="s">
        <v>354</v>
      </c>
      <c r="E1116" s="127"/>
      <c r="F1116" s="128"/>
      <c r="G1116" s="129" t="s">
        <v>92</v>
      </c>
      <c r="H1116" s="130" t="s">
        <v>202</v>
      </c>
      <c r="I1116" s="135"/>
      <c r="J1116" s="39"/>
      <c r="K1116" s="39">
        <f>0-J1116</f>
        <v>0</v>
      </c>
      <c r="L1116" s="39">
        <f t="shared" si="78"/>
        <v>0</v>
      </c>
      <c r="M1116" s="39">
        <v>0</v>
      </c>
    </row>
    <row r="1117" spans="1:13" ht="18" customHeight="1">
      <c r="A1117" s="133"/>
      <c r="B1117" s="127"/>
      <c r="C1117" s="127"/>
      <c r="D1117" s="127" t="s">
        <v>421</v>
      </c>
      <c r="E1117" s="127"/>
      <c r="F1117" s="128"/>
      <c r="G1117" s="129"/>
      <c r="H1117" s="130" t="s">
        <v>202</v>
      </c>
      <c r="I1117" s="135"/>
      <c r="J1117" s="39"/>
      <c r="K1117" s="39">
        <f>0-J1117</f>
        <v>0</v>
      </c>
      <c r="L1117" s="39">
        <f t="shared" si="78"/>
        <v>0</v>
      </c>
      <c r="M1117" s="39">
        <v>168000</v>
      </c>
    </row>
    <row r="1118" spans="1:13" ht="18" customHeight="1">
      <c r="A1118" s="133"/>
      <c r="B1118" s="127"/>
      <c r="C1118" s="127"/>
      <c r="D1118" s="127" t="s">
        <v>111</v>
      </c>
      <c r="E1118" s="127"/>
      <c r="F1118" s="128"/>
      <c r="G1118" s="129" t="s">
        <v>163</v>
      </c>
      <c r="H1118" s="130" t="s">
        <v>218</v>
      </c>
      <c r="I1118" s="135">
        <v>3556</v>
      </c>
      <c r="J1118" s="39">
        <v>0</v>
      </c>
      <c r="K1118" s="39">
        <f>21336-J1118</f>
        <v>21336</v>
      </c>
      <c r="L1118" s="39">
        <f t="shared" si="78"/>
        <v>21336</v>
      </c>
      <c r="M1118" s="39">
        <v>21336</v>
      </c>
    </row>
    <row r="1119" spans="1:13" ht="18" customHeight="1">
      <c r="A1119" s="133"/>
      <c r="B1119" s="127"/>
      <c r="C1119" s="127"/>
      <c r="D1119" s="127" t="s">
        <v>52</v>
      </c>
      <c r="E1119" s="127"/>
      <c r="F1119" s="128"/>
      <c r="G1119" s="129" t="s">
        <v>164</v>
      </c>
      <c r="H1119" s="130" t="s">
        <v>219</v>
      </c>
      <c r="I1119" s="135">
        <v>67962.87</v>
      </c>
      <c r="J1119" s="39">
        <v>5921.8</v>
      </c>
      <c r="K1119" s="39">
        <f>100000-J1119</f>
        <v>94078.2</v>
      </c>
      <c r="L1119" s="39">
        <f t="shared" si="78"/>
        <v>100000</v>
      </c>
      <c r="M1119" s="39">
        <v>100000</v>
      </c>
    </row>
    <row r="1120" spans="1:13" ht="18" customHeight="1">
      <c r="A1120" s="133"/>
      <c r="B1120" s="127"/>
      <c r="C1120" s="127"/>
      <c r="D1120" s="127" t="s">
        <v>112</v>
      </c>
      <c r="E1120" s="127"/>
      <c r="F1120" s="128"/>
      <c r="G1120" s="129" t="s">
        <v>165</v>
      </c>
      <c r="H1120" s="130" t="s">
        <v>203</v>
      </c>
      <c r="I1120" s="135">
        <v>115000</v>
      </c>
      <c r="J1120" s="39"/>
      <c r="K1120" s="39">
        <f>120000-J1120</f>
        <v>120000</v>
      </c>
      <c r="L1120" s="39">
        <f t="shared" si="78"/>
        <v>120000</v>
      </c>
      <c r="M1120" s="39">
        <v>120000</v>
      </c>
    </row>
    <row r="1121" spans="1:15" ht="18" customHeight="1">
      <c r="A1121" s="133"/>
      <c r="B1121" s="127"/>
      <c r="C1121" s="127"/>
      <c r="D1121" s="127" t="s">
        <v>252</v>
      </c>
      <c r="E1121" s="127"/>
      <c r="F1121" s="127"/>
      <c r="G1121" s="138" t="s">
        <v>92</v>
      </c>
      <c r="H1121" s="130" t="s">
        <v>202</v>
      </c>
      <c r="I1121" s="135">
        <v>317484</v>
      </c>
      <c r="J1121" s="39">
        <v>316600</v>
      </c>
      <c r="K1121" s="39">
        <f>340223-J1121</f>
        <v>23623</v>
      </c>
      <c r="L1121" s="39">
        <f t="shared" si="78"/>
        <v>340223</v>
      </c>
      <c r="M1121" s="39">
        <v>375826</v>
      </c>
    </row>
    <row r="1122" spans="1:15" ht="18" customHeight="1">
      <c r="A1122" s="133"/>
      <c r="B1122" s="127"/>
      <c r="C1122" s="127"/>
      <c r="D1122" s="127" t="s">
        <v>113</v>
      </c>
      <c r="E1122" s="127"/>
      <c r="F1122" s="128"/>
      <c r="G1122" s="129" t="s">
        <v>166</v>
      </c>
      <c r="H1122" s="130" t="s">
        <v>204</v>
      </c>
      <c r="I1122" s="135">
        <v>328627</v>
      </c>
      <c r="J1122" s="39"/>
      <c r="K1122" s="39">
        <f>354714-J1122</f>
        <v>354714</v>
      </c>
      <c r="L1122" s="39">
        <f t="shared" si="78"/>
        <v>354714</v>
      </c>
      <c r="M1122" s="39">
        <v>391370</v>
      </c>
    </row>
    <row r="1123" spans="1:15" ht="18" customHeight="1">
      <c r="A1123" s="133"/>
      <c r="B1123" s="127"/>
      <c r="C1123" s="127"/>
      <c r="D1123" s="127" t="s">
        <v>190</v>
      </c>
      <c r="E1123" s="127"/>
      <c r="F1123" s="128"/>
      <c r="G1123" s="129" t="s">
        <v>167</v>
      </c>
      <c r="H1123" s="130" t="s">
        <v>205</v>
      </c>
      <c r="I1123" s="135">
        <f>431022.6+3632.88</f>
        <v>434655.48</v>
      </c>
      <c r="J1123" s="39">
        <v>176479.26</v>
      </c>
      <c r="K1123" s="39">
        <f>500000-J1123</f>
        <v>323520.74</v>
      </c>
      <c r="L1123" s="39">
        <f t="shared" si="78"/>
        <v>500000</v>
      </c>
      <c r="M1123" s="39">
        <v>550000</v>
      </c>
    </row>
    <row r="1124" spans="1:15" ht="18" customHeight="1">
      <c r="A1124" s="133"/>
      <c r="B1124" s="127"/>
      <c r="C1124" s="127"/>
      <c r="D1124" s="127" t="s">
        <v>114</v>
      </c>
      <c r="E1124" s="127"/>
      <c r="F1124" s="128"/>
      <c r="G1124" s="129" t="s">
        <v>168</v>
      </c>
      <c r="H1124" s="130" t="s">
        <v>206</v>
      </c>
      <c r="I1124" s="135">
        <f>23600+2100</f>
        <v>25700</v>
      </c>
      <c r="J1124" s="39">
        <v>18900</v>
      </c>
      <c r="K1124" s="39">
        <f>48700-J1124</f>
        <v>29800</v>
      </c>
      <c r="L1124" s="39">
        <f t="shared" si="78"/>
        <v>48700</v>
      </c>
      <c r="M1124" s="39">
        <v>43200</v>
      </c>
    </row>
    <row r="1125" spans="1:15" ht="18" customHeight="1">
      <c r="A1125" s="133"/>
      <c r="B1125" s="127"/>
      <c r="C1125" s="127"/>
      <c r="D1125" s="127" t="s">
        <v>115</v>
      </c>
      <c r="E1125" s="127"/>
      <c r="F1125" s="128"/>
      <c r="G1125" s="129" t="s">
        <v>169</v>
      </c>
      <c r="H1125" s="130" t="s">
        <v>207</v>
      </c>
      <c r="I1125" s="135">
        <v>71083.600000000006</v>
      </c>
      <c r="J1125" s="39">
        <v>38148.89</v>
      </c>
      <c r="K1125" s="39">
        <f>104500-J1125</f>
        <v>66351.11</v>
      </c>
      <c r="L1125" s="39">
        <f t="shared" si="78"/>
        <v>104500</v>
      </c>
      <c r="M1125" s="39">
        <v>115000</v>
      </c>
    </row>
    <row r="1126" spans="1:15" ht="18" customHeight="1">
      <c r="A1126" s="133"/>
      <c r="B1126" s="127"/>
      <c r="C1126" s="127"/>
      <c r="D1126" s="127" t="s">
        <v>189</v>
      </c>
      <c r="E1126" s="127"/>
      <c r="F1126" s="128"/>
      <c r="G1126" s="129" t="s">
        <v>170</v>
      </c>
      <c r="H1126" s="130" t="s">
        <v>208</v>
      </c>
      <c r="I1126" s="135">
        <v>24700</v>
      </c>
      <c r="J1126" s="39">
        <v>10000</v>
      </c>
      <c r="K1126" s="39">
        <f>28800-J1126</f>
        <v>18800</v>
      </c>
      <c r="L1126" s="39">
        <f t="shared" si="78"/>
        <v>28800</v>
      </c>
      <c r="M1126" s="39">
        <v>28800</v>
      </c>
    </row>
    <row r="1127" spans="1:15" ht="18" customHeight="1">
      <c r="A1127" s="133"/>
      <c r="B1127" s="127"/>
      <c r="C1127" s="127"/>
      <c r="D1127" s="127" t="s">
        <v>54</v>
      </c>
      <c r="E1127" s="127"/>
      <c r="F1127" s="127"/>
      <c r="G1127" s="138"/>
      <c r="H1127" s="130" t="s">
        <v>209</v>
      </c>
      <c r="I1127" s="135">
        <v>87316.36</v>
      </c>
      <c r="J1127" s="39">
        <v>165762.20000000001</v>
      </c>
      <c r="K1127" s="39">
        <f>166000-J1127</f>
        <v>237.79999999998836</v>
      </c>
      <c r="L1127" s="39">
        <f t="shared" si="78"/>
        <v>166000</v>
      </c>
      <c r="M1127" s="39">
        <v>100000</v>
      </c>
    </row>
    <row r="1128" spans="1:15" ht="18" customHeight="1">
      <c r="A1128" s="133"/>
      <c r="B1128" s="127"/>
      <c r="C1128" s="127"/>
      <c r="D1128" s="127" t="s">
        <v>117</v>
      </c>
      <c r="E1128" s="127"/>
      <c r="F1128" s="128"/>
      <c r="G1128" s="129" t="s">
        <v>67</v>
      </c>
      <c r="H1128" s="130" t="s">
        <v>220</v>
      </c>
      <c r="I1128" s="135"/>
      <c r="J1128" s="39">
        <v>340561.64</v>
      </c>
      <c r="K1128" s="39">
        <f>400000-J1128</f>
        <v>59438.359999999986</v>
      </c>
      <c r="L1128" s="39">
        <f t="shared" si="78"/>
        <v>400000</v>
      </c>
      <c r="M1128" s="39">
        <v>0</v>
      </c>
    </row>
    <row r="1129" spans="1:15" ht="18" customHeight="1">
      <c r="A1129" s="133"/>
      <c r="B1129" s="127"/>
      <c r="C1129" s="127"/>
      <c r="D1129" s="127" t="s">
        <v>560</v>
      </c>
      <c r="E1129" s="127"/>
      <c r="F1129" s="128"/>
      <c r="G1129" s="129"/>
      <c r="H1129" s="130" t="s">
        <v>220</v>
      </c>
      <c r="I1129" s="135"/>
      <c r="J1129" s="39"/>
      <c r="K1129" s="39">
        <f>1182500-J1129</f>
        <v>1182500</v>
      </c>
      <c r="L1129" s="39">
        <f t="shared" si="78"/>
        <v>1182500</v>
      </c>
      <c r="M1129" s="39">
        <v>1488000</v>
      </c>
    </row>
    <row r="1130" spans="1:15" ht="18" customHeight="1">
      <c r="A1130" s="133"/>
      <c r="B1130" s="127"/>
      <c r="C1130" s="127"/>
      <c r="D1130" s="127" t="s">
        <v>343</v>
      </c>
      <c r="E1130" s="127"/>
      <c r="F1130" s="128"/>
      <c r="G1130" s="129"/>
      <c r="H1130" s="130"/>
      <c r="I1130" s="135"/>
      <c r="J1130" s="39"/>
      <c r="K1130" s="39">
        <f>422000-J1130</f>
        <v>422000</v>
      </c>
      <c r="L1130" s="39">
        <f t="shared" si="78"/>
        <v>422000</v>
      </c>
      <c r="M1130" s="39"/>
    </row>
    <row r="1131" spans="1:15" ht="18" customHeight="1">
      <c r="A1131" s="133"/>
      <c r="B1131" s="127"/>
      <c r="C1131" s="127"/>
      <c r="D1131" s="191" t="s">
        <v>423</v>
      </c>
      <c r="E1131" s="127"/>
      <c r="F1131" s="128"/>
      <c r="G1131" s="129"/>
      <c r="H1131" s="130" t="s">
        <v>220</v>
      </c>
      <c r="I1131" s="135">
        <v>702500</v>
      </c>
      <c r="J1131" s="39"/>
      <c r="K1131" s="39">
        <f>635000-J1131</f>
        <v>635000</v>
      </c>
      <c r="L1131" s="39">
        <f t="shared" si="78"/>
        <v>635000</v>
      </c>
      <c r="M1131" s="39"/>
    </row>
    <row r="1132" spans="1:15" ht="18" customHeight="1">
      <c r="A1132" s="139"/>
      <c r="B1132" s="140"/>
      <c r="C1132" s="140"/>
      <c r="D1132" s="140" t="s">
        <v>53</v>
      </c>
      <c r="E1132" s="140"/>
      <c r="F1132" s="141"/>
      <c r="G1132" s="142"/>
      <c r="H1132" s="169"/>
      <c r="I1132" s="143">
        <f>SUM(I1108:I1131)</f>
        <v>6824285.7499999991</v>
      </c>
      <c r="J1132" s="143">
        <f t="shared" ref="J1132:L1132" si="79">SUM(J1108:J1131)</f>
        <v>3397366.6900000004</v>
      </c>
      <c r="K1132" s="143">
        <f t="shared" si="79"/>
        <v>6086003.3099999996</v>
      </c>
      <c r="L1132" s="143">
        <f t="shared" si="79"/>
        <v>9483370</v>
      </c>
      <c r="M1132" s="143">
        <f>SUM(M1108:M1131)</f>
        <v>8972591</v>
      </c>
      <c r="O1132" s="66"/>
    </row>
    <row r="1133" spans="1:15" ht="18" customHeight="1">
      <c r="A1133" s="133"/>
      <c r="B1133" s="127" t="s">
        <v>118</v>
      </c>
      <c r="C1133" s="127"/>
      <c r="D1133" s="127"/>
      <c r="E1133" s="127"/>
      <c r="F1133" s="128"/>
      <c r="G1133" s="129"/>
      <c r="H1133" s="167"/>
      <c r="I1133" s="135"/>
      <c r="J1133" s="39"/>
      <c r="K1133" s="39"/>
      <c r="L1133" s="39"/>
      <c r="M1133" s="39"/>
    </row>
    <row r="1134" spans="1:15" s="97" customFormat="1" ht="18" customHeight="1">
      <c r="A1134" s="133"/>
      <c r="B1134" s="127"/>
      <c r="C1134" s="127"/>
      <c r="D1134" s="127" t="s">
        <v>119</v>
      </c>
      <c r="E1134" s="127"/>
      <c r="F1134" s="128"/>
      <c r="G1134" s="129" t="s">
        <v>60</v>
      </c>
      <c r="H1134" s="130" t="s">
        <v>210</v>
      </c>
      <c r="I1134" s="135">
        <v>27750</v>
      </c>
      <c r="J1134" s="39">
        <v>4100</v>
      </c>
      <c r="K1134" s="39">
        <f>50000-J1134</f>
        <v>45900</v>
      </c>
      <c r="L1134" s="39">
        <f t="shared" ref="L1134:L1144" si="80">SUM(K1134+J1134)</f>
        <v>50000</v>
      </c>
      <c r="M1134" s="39">
        <v>50000</v>
      </c>
    </row>
    <row r="1135" spans="1:15" s="97" customFormat="1" ht="18" customHeight="1">
      <c r="A1135" s="133"/>
      <c r="B1135" s="127"/>
      <c r="C1135" s="127"/>
      <c r="D1135" s="127" t="s">
        <v>91</v>
      </c>
      <c r="E1135" s="127"/>
      <c r="F1135" s="128"/>
      <c r="G1135" s="129" t="s">
        <v>61</v>
      </c>
      <c r="H1135" s="130" t="s">
        <v>211</v>
      </c>
      <c r="I1135" s="135">
        <v>38382.33</v>
      </c>
      <c r="J1135" s="39"/>
      <c r="K1135" s="39">
        <f>40000-J1135</f>
        <v>40000</v>
      </c>
      <c r="L1135" s="39">
        <f t="shared" si="80"/>
        <v>40000</v>
      </c>
      <c r="M1135" s="39">
        <v>50000</v>
      </c>
    </row>
    <row r="1136" spans="1:15" s="97" customFormat="1" ht="18" customHeight="1">
      <c r="A1136" s="133"/>
      <c r="B1136" s="127"/>
      <c r="C1136" s="127"/>
      <c r="D1136" s="127" t="s">
        <v>58</v>
      </c>
      <c r="E1136" s="127"/>
      <c r="F1136" s="128"/>
      <c r="G1136" s="129" t="s">
        <v>63</v>
      </c>
      <c r="H1136" s="130" t="s">
        <v>212</v>
      </c>
      <c r="I1136" s="135">
        <v>374159</v>
      </c>
      <c r="J1136" s="39">
        <v>15714.6</v>
      </c>
      <c r="K1136" s="39">
        <f>550000-J1136</f>
        <v>534285.4</v>
      </c>
      <c r="L1136" s="39">
        <f t="shared" si="80"/>
        <v>550000</v>
      </c>
      <c r="M1136" s="39">
        <v>550000</v>
      </c>
    </row>
    <row r="1137" spans="1:13" s="97" customFormat="1" ht="18" customHeight="1">
      <c r="A1137" s="133"/>
      <c r="B1137" s="127"/>
      <c r="C1137" s="127"/>
      <c r="D1137" s="127" t="s">
        <v>57</v>
      </c>
      <c r="E1137" s="127"/>
      <c r="F1137" s="128"/>
      <c r="G1137" s="129" t="s">
        <v>183</v>
      </c>
      <c r="H1137" s="130" t="s">
        <v>236</v>
      </c>
      <c r="I1137" s="135"/>
      <c r="J1137" s="39"/>
      <c r="K1137" s="39">
        <f>0-J1137</f>
        <v>0</v>
      </c>
      <c r="L1137" s="39">
        <f t="shared" si="80"/>
        <v>0</v>
      </c>
      <c r="M1137" s="39">
        <v>0</v>
      </c>
    </row>
    <row r="1138" spans="1:13" s="97" customFormat="1" ht="18" customHeight="1">
      <c r="A1138" s="133"/>
      <c r="B1138" s="127"/>
      <c r="C1138" s="127"/>
      <c r="D1138" s="127" t="s">
        <v>125</v>
      </c>
      <c r="E1138" s="127"/>
      <c r="F1138" s="128"/>
      <c r="G1138" s="129" t="s">
        <v>64</v>
      </c>
      <c r="H1138" s="130" t="s">
        <v>214</v>
      </c>
      <c r="I1138" s="135">
        <v>12000</v>
      </c>
      <c r="J1138" s="39">
        <v>6000</v>
      </c>
      <c r="K1138" s="39">
        <f>12000-J1138</f>
        <v>6000</v>
      </c>
      <c r="L1138" s="39">
        <f t="shared" si="80"/>
        <v>12000</v>
      </c>
      <c r="M1138" s="39">
        <v>12000</v>
      </c>
    </row>
    <row r="1139" spans="1:13" s="97" customFormat="1" ht="18" customHeight="1">
      <c r="A1139" s="133"/>
      <c r="B1139" s="127"/>
      <c r="C1139" s="127"/>
      <c r="D1139" s="127" t="s">
        <v>56</v>
      </c>
      <c r="E1139" s="127"/>
      <c r="F1139" s="128"/>
      <c r="G1139" s="129" t="s">
        <v>184</v>
      </c>
      <c r="H1139" s="130" t="s">
        <v>237</v>
      </c>
      <c r="I1139" s="135"/>
      <c r="J1139" s="39"/>
      <c r="K1139" s="39">
        <f>0-J1139</f>
        <v>0</v>
      </c>
      <c r="L1139" s="39">
        <f t="shared" si="80"/>
        <v>0</v>
      </c>
      <c r="M1139" s="39">
        <v>0</v>
      </c>
    </row>
    <row r="1140" spans="1:13" s="97" customFormat="1" ht="18" customHeight="1">
      <c r="A1140" s="133"/>
      <c r="B1140" s="127"/>
      <c r="C1140" s="127"/>
      <c r="D1140" s="127" t="s">
        <v>320</v>
      </c>
      <c r="E1140" s="127"/>
      <c r="F1140" s="128"/>
      <c r="G1140" s="129"/>
      <c r="H1140" s="130" t="s">
        <v>321</v>
      </c>
      <c r="I1140" s="135">
        <v>184112.13</v>
      </c>
      <c r="J1140" s="39"/>
      <c r="K1140" s="39">
        <f>268000-J1140</f>
        <v>268000</v>
      </c>
      <c r="L1140" s="39">
        <f t="shared" si="80"/>
        <v>268000</v>
      </c>
      <c r="M1140" s="39">
        <v>300000</v>
      </c>
    </row>
    <row r="1141" spans="1:13" s="97" customFormat="1" ht="18" customHeight="1">
      <c r="A1141" s="133"/>
      <c r="B1141" s="127"/>
      <c r="C1141" s="127"/>
      <c r="D1141" s="127" t="s">
        <v>304</v>
      </c>
      <c r="E1141" s="127"/>
      <c r="F1141" s="128"/>
      <c r="G1141" s="129" t="s">
        <v>65</v>
      </c>
      <c r="H1141" s="130" t="s">
        <v>322</v>
      </c>
      <c r="I1141" s="135">
        <v>2400</v>
      </c>
      <c r="J1141" s="39">
        <v>47999</v>
      </c>
      <c r="K1141" s="39">
        <f>48000-J1141</f>
        <v>1</v>
      </c>
      <c r="L1141" s="39">
        <f t="shared" si="80"/>
        <v>48000</v>
      </c>
      <c r="M1141" s="39">
        <v>50000</v>
      </c>
    </row>
    <row r="1142" spans="1:13" s="97" customFormat="1" ht="18" customHeight="1">
      <c r="A1142" s="133"/>
      <c r="B1142" s="127"/>
      <c r="C1142" s="127"/>
      <c r="D1142" s="127" t="s">
        <v>55</v>
      </c>
      <c r="E1142" s="127"/>
      <c r="F1142" s="128"/>
      <c r="G1142" s="129" t="s">
        <v>185</v>
      </c>
      <c r="H1142" s="130" t="s">
        <v>238</v>
      </c>
      <c r="I1142" s="135">
        <v>259235.24</v>
      </c>
      <c r="J1142" s="39">
        <v>270000</v>
      </c>
      <c r="K1142" s="39">
        <f>270000-J1142</f>
        <v>0</v>
      </c>
      <c r="L1142" s="39">
        <f t="shared" si="80"/>
        <v>270000</v>
      </c>
      <c r="M1142" s="39">
        <v>270000</v>
      </c>
    </row>
    <row r="1143" spans="1:13" ht="18" customHeight="1">
      <c r="A1143" s="133"/>
      <c r="B1143" s="127"/>
      <c r="C1143" s="127"/>
      <c r="D1143" s="127" t="s">
        <v>131</v>
      </c>
      <c r="E1143" s="127"/>
      <c r="F1143" s="128"/>
      <c r="G1143" s="129" t="s">
        <v>66</v>
      </c>
      <c r="H1143" s="130" t="s">
        <v>216</v>
      </c>
      <c r="I1143" s="135">
        <v>0</v>
      </c>
      <c r="J1143" s="39">
        <v>0</v>
      </c>
      <c r="K1143" s="39">
        <f>0-J1143</f>
        <v>0</v>
      </c>
      <c r="L1143" s="39">
        <f t="shared" si="80"/>
        <v>0</v>
      </c>
      <c r="M1143" s="39">
        <v>0</v>
      </c>
    </row>
    <row r="1144" spans="1:13" ht="18" customHeight="1">
      <c r="A1144" s="133"/>
      <c r="B1144" s="127"/>
      <c r="C1144" s="127"/>
      <c r="D1144" s="127" t="s">
        <v>366</v>
      </c>
      <c r="E1144" s="127"/>
      <c r="F1144" s="128"/>
      <c r="G1144" s="129"/>
      <c r="H1144" s="130" t="s">
        <v>216</v>
      </c>
      <c r="I1144" s="135">
        <v>0</v>
      </c>
      <c r="J1144" s="39">
        <v>0</v>
      </c>
      <c r="K1144" s="39">
        <f>0-J1144</f>
        <v>0</v>
      </c>
      <c r="L1144" s="39">
        <f t="shared" si="80"/>
        <v>0</v>
      </c>
      <c r="M1144" s="39">
        <v>0</v>
      </c>
    </row>
    <row r="1145" spans="1:13" ht="18" customHeight="1">
      <c r="A1145" s="139"/>
      <c r="B1145" s="140"/>
      <c r="C1145" s="140"/>
      <c r="D1145" s="140" t="s">
        <v>244</v>
      </c>
      <c r="E1145" s="140"/>
      <c r="F1145" s="141"/>
      <c r="G1145" s="142"/>
      <c r="H1145" s="169"/>
      <c r="I1145" s="143">
        <f>SUM(I1134:I1144)</f>
        <v>898038.7</v>
      </c>
      <c r="J1145" s="143">
        <f>SUM(J1134:J1144)</f>
        <v>343813.6</v>
      </c>
      <c r="K1145" s="143">
        <f>SUM(K1134:K1144)</f>
        <v>894186.4</v>
      </c>
      <c r="L1145" s="143">
        <f>SUM(L1134:L1144)</f>
        <v>1238000</v>
      </c>
      <c r="M1145" s="143">
        <f>SUM(M1134:M1144)</f>
        <v>1282000</v>
      </c>
    </row>
    <row r="1146" spans="1:13" ht="18" customHeight="1">
      <c r="A1146" s="133"/>
      <c r="B1146" s="127" t="s">
        <v>132</v>
      </c>
      <c r="C1146" s="127"/>
      <c r="D1146" s="127"/>
      <c r="E1146" s="127"/>
      <c r="F1146" s="128"/>
      <c r="G1146" s="129"/>
      <c r="H1146" s="167"/>
      <c r="I1146" s="135"/>
      <c r="J1146" s="39"/>
      <c r="K1146" s="39"/>
      <c r="L1146" s="39"/>
      <c r="M1146" s="39"/>
    </row>
    <row r="1147" spans="1:13" ht="18" customHeight="1">
      <c r="A1147" s="133"/>
      <c r="B1147" s="127"/>
      <c r="C1147" s="127"/>
      <c r="D1147" s="127" t="s">
        <v>195</v>
      </c>
      <c r="E1147" s="127"/>
      <c r="F1147" s="128"/>
      <c r="G1147" s="129" t="s">
        <v>285</v>
      </c>
      <c r="H1147" s="167" t="s">
        <v>286</v>
      </c>
      <c r="I1147" s="135"/>
      <c r="J1147" s="39">
        <v>0</v>
      </c>
      <c r="K1147" s="39">
        <f>60000-J1147</f>
        <v>60000</v>
      </c>
      <c r="L1147" s="39">
        <f>SUM(K1147+J1147)</f>
        <v>60000</v>
      </c>
      <c r="M1147" s="39">
        <v>0</v>
      </c>
    </row>
    <row r="1148" spans="1:13" ht="18" customHeight="1">
      <c r="A1148" s="133"/>
      <c r="B1148" s="127"/>
      <c r="C1148" s="127"/>
      <c r="D1148" s="127" t="s">
        <v>476</v>
      </c>
      <c r="E1148" s="127"/>
      <c r="F1148" s="128"/>
      <c r="G1148" s="129" t="s">
        <v>303</v>
      </c>
      <c r="H1148" s="130" t="s">
        <v>348</v>
      </c>
      <c r="I1148" s="135"/>
      <c r="J1148" s="39">
        <v>0</v>
      </c>
      <c r="K1148" s="39">
        <v>0</v>
      </c>
      <c r="L1148" s="39">
        <f>SUM(K1148+J1148)</f>
        <v>0</v>
      </c>
      <c r="M1148" s="39">
        <v>70000</v>
      </c>
    </row>
    <row r="1149" spans="1:13" ht="18" customHeight="1">
      <c r="A1149" s="133"/>
      <c r="B1149" s="127"/>
      <c r="C1149" s="127"/>
      <c r="D1149" s="127" t="s">
        <v>360</v>
      </c>
      <c r="E1149" s="127"/>
      <c r="F1149" s="128"/>
      <c r="G1149" s="129"/>
      <c r="H1149" s="130" t="s">
        <v>325</v>
      </c>
      <c r="I1149" s="135"/>
      <c r="J1149" s="39">
        <v>0</v>
      </c>
      <c r="K1149" s="39">
        <f>0-J1149</f>
        <v>0</v>
      </c>
      <c r="L1149" s="39">
        <f>SUM(K1149+J1149)</f>
        <v>0</v>
      </c>
      <c r="M1149" s="39">
        <v>0</v>
      </c>
    </row>
    <row r="1150" spans="1:13" s="45" customFormat="1" ht="18" customHeight="1">
      <c r="A1150" s="133"/>
      <c r="B1150" s="127"/>
      <c r="C1150" s="127"/>
      <c r="D1150" s="127" t="s">
        <v>349</v>
      </c>
      <c r="E1150" s="127"/>
      <c r="F1150" s="128"/>
      <c r="G1150" s="129"/>
      <c r="H1150" s="130" t="s">
        <v>294</v>
      </c>
      <c r="I1150" s="135">
        <v>0</v>
      </c>
      <c r="J1150" s="39">
        <v>0</v>
      </c>
      <c r="K1150" s="39">
        <f t="shared" ref="K1150:K1151" si="81">0-J1150</f>
        <v>0</v>
      </c>
      <c r="L1150" s="39">
        <f>SUM(K1150+J1150)</f>
        <v>0</v>
      </c>
      <c r="M1150" s="39">
        <v>0</v>
      </c>
    </row>
    <row r="1151" spans="1:13" s="249" customFormat="1" ht="18" customHeight="1">
      <c r="A1151" s="250"/>
      <c r="B1151" s="251"/>
      <c r="C1151" s="251"/>
      <c r="D1151" s="251" t="s">
        <v>350</v>
      </c>
      <c r="E1151" s="251"/>
      <c r="F1151" s="252"/>
      <c r="G1151" s="253"/>
      <c r="H1151" s="254" t="s">
        <v>351</v>
      </c>
      <c r="I1151" s="255">
        <v>0</v>
      </c>
      <c r="J1151" s="256">
        <v>0</v>
      </c>
      <c r="K1151" s="256">
        <f t="shared" si="81"/>
        <v>0</v>
      </c>
      <c r="L1151" s="256">
        <f>SUM(K1151+J1151)</f>
        <v>0</v>
      </c>
      <c r="M1151" s="256">
        <v>0</v>
      </c>
    </row>
    <row r="1152" spans="1:13" s="72" customFormat="1" ht="18" customHeight="1">
      <c r="A1152" s="230"/>
      <c r="B1152" s="231"/>
      <c r="C1152" s="231"/>
      <c r="D1152" s="231" t="s">
        <v>245</v>
      </c>
      <c r="E1152" s="231"/>
      <c r="F1152" s="232"/>
      <c r="G1152" s="233"/>
      <c r="H1152" s="234"/>
      <c r="I1152" s="235">
        <f>SUM(I1147:I1151)</f>
        <v>0</v>
      </c>
      <c r="J1152" s="235">
        <f t="shared" ref="J1152:M1152" si="82">SUM(J1147:J1151)</f>
        <v>0</v>
      </c>
      <c r="K1152" s="235">
        <f t="shared" si="82"/>
        <v>60000</v>
      </c>
      <c r="L1152" s="235">
        <f t="shared" si="82"/>
        <v>60000</v>
      </c>
      <c r="M1152" s="235">
        <f t="shared" si="82"/>
        <v>70000</v>
      </c>
    </row>
    <row r="1153" spans="1:13" s="92" customFormat="1" ht="18" customHeight="1">
      <c r="A1153" s="146" t="s">
        <v>187</v>
      </c>
      <c r="B1153" s="148"/>
      <c r="C1153" s="148"/>
      <c r="D1153" s="148"/>
      <c r="E1153" s="148"/>
      <c r="F1153" s="149"/>
      <c r="G1153" s="166"/>
      <c r="H1153" s="170"/>
      <c r="I1153" s="152">
        <f>SUM(I1152+I1145+I1132)</f>
        <v>7722324.4499999993</v>
      </c>
      <c r="J1153" s="152">
        <f t="shared" ref="J1153:M1153" si="83">SUM(J1152+J1145+J1132)</f>
        <v>3741180.2900000005</v>
      </c>
      <c r="K1153" s="152">
        <f t="shared" si="83"/>
        <v>7040189.71</v>
      </c>
      <c r="L1153" s="152">
        <f t="shared" si="83"/>
        <v>10781370</v>
      </c>
      <c r="M1153" s="152">
        <f t="shared" si="83"/>
        <v>10324591</v>
      </c>
    </row>
    <row r="1154" spans="1:13" s="92" customFormat="1" ht="18" customHeight="1">
      <c r="A1154" s="100"/>
      <c r="B1154" s="100"/>
      <c r="C1154" s="100"/>
      <c r="D1154" s="100"/>
      <c r="E1154" s="100"/>
      <c r="F1154" s="100"/>
      <c r="G1154" s="198"/>
      <c r="H1154" s="227"/>
      <c r="I1154" s="228"/>
      <c r="J1154" s="228"/>
      <c r="K1154" s="228"/>
      <c r="L1154" s="228"/>
      <c r="M1154" s="228"/>
    </row>
    <row r="1155" spans="1:13" s="92" customFormat="1" ht="20.25" customHeight="1">
      <c r="A1155" s="98"/>
      <c r="B1155" s="98"/>
      <c r="C1155" s="98"/>
      <c r="D1155" s="98"/>
      <c r="E1155" s="98"/>
      <c r="F1155" s="98"/>
      <c r="G1155" s="98"/>
      <c r="H1155" s="98"/>
      <c r="I1155" s="98"/>
      <c r="J1155" s="98"/>
      <c r="K1155" s="98"/>
      <c r="L1155" s="98"/>
      <c r="M1155" s="98"/>
    </row>
    <row r="1156" spans="1:13" s="103" customFormat="1" ht="20.100000000000001" customHeight="1">
      <c r="A1156" s="241" t="s">
        <v>490</v>
      </c>
      <c r="B1156" s="241"/>
      <c r="C1156" s="241"/>
      <c r="D1156" s="241"/>
      <c r="E1156" s="241"/>
      <c r="F1156" s="241"/>
      <c r="G1156" s="241"/>
      <c r="H1156" s="241"/>
      <c r="I1156" s="241"/>
      <c r="J1156" s="241"/>
      <c r="K1156" s="241"/>
      <c r="L1156" s="241"/>
      <c r="M1156" s="241"/>
    </row>
    <row r="1157" spans="1:13" s="33" customFormat="1" ht="18" customHeight="1">
      <c r="A1157" s="93"/>
      <c r="B1157" s="94"/>
      <c r="C1157" s="93"/>
      <c r="D1157" s="93"/>
      <c r="E1157" s="93"/>
      <c r="F1157" s="95"/>
      <c r="G1157" s="93"/>
      <c r="H1157" s="96"/>
      <c r="I1157" s="96"/>
      <c r="J1157" s="92"/>
      <c r="K1157" s="61"/>
      <c r="L1157" s="61"/>
      <c r="M1157" s="55"/>
    </row>
    <row r="1158" spans="1:13" s="33" customFormat="1" ht="18" customHeight="1">
      <c r="A1158" s="242" t="s">
        <v>491</v>
      </c>
      <c r="B1158" s="242"/>
      <c r="C1158" s="92"/>
      <c r="D1158" s="242"/>
      <c r="E1158" s="242"/>
      <c r="F1158" s="92"/>
      <c r="G1158" s="242"/>
      <c r="H1158" s="242"/>
      <c r="I1158" s="242" t="s">
        <v>492</v>
      </c>
      <c r="J1158" s="242"/>
      <c r="K1158" s="242"/>
      <c r="L1158" s="242" t="s">
        <v>493</v>
      </c>
      <c r="M1158" s="242"/>
    </row>
    <row r="1159" spans="1:13" s="33" customFormat="1" ht="18" customHeight="1">
      <c r="A1159" s="93"/>
      <c r="B1159" s="94"/>
      <c r="C1159" s="92"/>
      <c r="D1159" s="93"/>
      <c r="E1159" s="93"/>
      <c r="F1159" s="92"/>
      <c r="G1159" s="93"/>
      <c r="H1159" s="92"/>
      <c r="I1159" s="93"/>
      <c r="J1159" s="96"/>
      <c r="K1159" s="60"/>
      <c r="L1159" s="95"/>
      <c r="M1159" s="61"/>
    </row>
    <row r="1160" spans="1:13" s="33" customFormat="1" ht="18" customHeight="1">
      <c r="A1160" s="404" t="s">
        <v>328</v>
      </c>
      <c r="B1160" s="404"/>
      <c r="C1160" s="404"/>
      <c r="D1160" s="404"/>
      <c r="E1160" s="404"/>
      <c r="F1160" s="404"/>
      <c r="G1160" s="94"/>
      <c r="H1160" s="243"/>
      <c r="I1160" s="404" t="s">
        <v>494</v>
      </c>
      <c r="J1160" s="404"/>
      <c r="K1160" s="58"/>
      <c r="L1160" s="404" t="s">
        <v>328</v>
      </c>
      <c r="M1160" s="404"/>
    </row>
    <row r="1161" spans="1:13" s="33" customFormat="1" ht="18" customHeight="1">
      <c r="A1161" s="405" t="s">
        <v>495</v>
      </c>
      <c r="B1161" s="405"/>
      <c r="C1161" s="405"/>
      <c r="D1161" s="405"/>
      <c r="E1161" s="405"/>
      <c r="F1161" s="405"/>
      <c r="G1161" s="15"/>
      <c r="H1161" s="15"/>
      <c r="I1161" s="406" t="s">
        <v>496</v>
      </c>
      <c r="J1161" s="406"/>
      <c r="K1161" s="15"/>
      <c r="L1161" s="405" t="s">
        <v>497</v>
      </c>
      <c r="M1161" s="405"/>
    </row>
    <row r="1162" spans="1:13" s="33" customFormat="1" ht="18" customHeight="1">
      <c r="A1162" s="32"/>
      <c r="B1162" s="31"/>
      <c r="C1162" s="32"/>
      <c r="D1162" s="32"/>
      <c r="E1162" s="32"/>
      <c r="F1162" s="59"/>
      <c r="G1162" s="32"/>
      <c r="H1162" s="54"/>
      <c r="I1162" s="54"/>
      <c r="K1162" s="61"/>
      <c r="L1162" s="61"/>
      <c r="M1162" s="55"/>
    </row>
    <row r="1163" spans="1:13" s="33" customFormat="1" ht="18" customHeight="1">
      <c r="A1163" s="32"/>
      <c r="B1163" s="31"/>
      <c r="C1163" s="32"/>
      <c r="D1163" s="32"/>
      <c r="E1163" s="32"/>
      <c r="F1163" s="59"/>
      <c r="G1163" s="32"/>
      <c r="H1163" s="54"/>
      <c r="I1163" s="54"/>
      <c r="K1163" s="61"/>
      <c r="L1163" s="61"/>
      <c r="M1163" s="55"/>
    </row>
    <row r="1164" spans="1:13" s="33" customFormat="1" ht="18" customHeight="1">
      <c r="A1164" s="32"/>
      <c r="B1164" s="31"/>
      <c r="C1164" s="32"/>
      <c r="D1164" s="32"/>
      <c r="E1164" s="32"/>
      <c r="F1164" s="59"/>
      <c r="G1164" s="32"/>
      <c r="H1164" s="54"/>
      <c r="I1164" s="54"/>
      <c r="K1164" s="61"/>
      <c r="L1164" s="61"/>
      <c r="M1164" s="55"/>
    </row>
    <row r="1165" spans="1:13" s="33" customFormat="1" ht="18" customHeight="1">
      <c r="A1165" s="32"/>
      <c r="B1165" s="31"/>
      <c r="C1165" s="32"/>
      <c r="D1165" s="32"/>
      <c r="E1165" s="32"/>
      <c r="F1165" s="59"/>
      <c r="G1165" s="32"/>
      <c r="H1165" s="54"/>
      <c r="I1165" s="54"/>
      <c r="K1165" s="61"/>
      <c r="L1165" s="61"/>
      <c r="M1165" s="55"/>
    </row>
    <row r="1166" spans="1:13" s="65" customFormat="1" ht="20.100000000000001" customHeight="1">
      <c r="A1166" s="408"/>
      <c r="B1166" s="408"/>
      <c r="C1166" s="408"/>
      <c r="D1166" s="408"/>
      <c r="E1166" s="408"/>
      <c r="F1166" s="408"/>
      <c r="G1166" s="408"/>
      <c r="H1166" s="408"/>
      <c r="I1166" s="408"/>
      <c r="J1166" s="408"/>
      <c r="K1166" s="408"/>
      <c r="L1166" s="408"/>
      <c r="M1166" s="408"/>
    </row>
    <row r="1167" spans="1:13" ht="18" customHeight="1"/>
    <row r="1168" spans="1:13" s="67" customFormat="1" ht="18" customHeight="1">
      <c r="I1168" s="68"/>
      <c r="J1168" s="68"/>
      <c r="K1168" s="68"/>
      <c r="L1168" s="68"/>
      <c r="M1168" s="68"/>
    </row>
    <row r="1169" spans="8:13" ht="18" customHeight="1">
      <c r="H1169" s="34"/>
    </row>
    <row r="1170" spans="8:13" ht="18" customHeight="1">
      <c r="H1170" s="34"/>
    </row>
    <row r="1171" spans="8:13" ht="18" customHeight="1">
      <c r="H1171" s="34"/>
    </row>
    <row r="1172" spans="8:13" ht="18" customHeight="1">
      <c r="H1172" s="34"/>
    </row>
    <row r="1173" spans="8:13" ht="18" customHeight="1">
      <c r="H1173" s="34"/>
    </row>
    <row r="1174" spans="8:13" ht="18" customHeight="1">
      <c r="H1174" s="34"/>
    </row>
    <row r="1175" spans="8:13" ht="18" customHeight="1">
      <c r="H1175" s="34"/>
    </row>
    <row r="1176" spans="8:13" ht="18" customHeight="1">
      <c r="H1176" s="34"/>
    </row>
    <row r="1177" spans="8:13" ht="18" customHeight="1">
      <c r="H1177" s="34"/>
    </row>
    <row r="1178" spans="8:13" ht="18" customHeight="1">
      <c r="H1178" s="34"/>
    </row>
    <row r="1179" spans="8:13" ht="18" customHeight="1">
      <c r="H1179" s="34"/>
    </row>
    <row r="1180" spans="8:13" ht="18" customHeight="1">
      <c r="H1180" s="34"/>
    </row>
    <row r="1181" spans="8:13" ht="18" customHeight="1">
      <c r="H1181" s="34"/>
    </row>
    <row r="1182" spans="8:13" ht="18" customHeight="1">
      <c r="H1182" s="34"/>
    </row>
    <row r="1183" spans="8:13" ht="18" customHeight="1">
      <c r="H1183" s="34"/>
    </row>
    <row r="1184" spans="8:13" ht="18" customHeight="1">
      <c r="H1184" s="34"/>
      <c r="I1184" s="34"/>
      <c r="J1184" s="34"/>
      <c r="K1184" s="34"/>
      <c r="L1184" s="34"/>
      <c r="M1184" s="34"/>
    </row>
    <row r="1185" s="34" customFormat="1" ht="18" customHeight="1"/>
    <row r="1186" s="34" customFormat="1" ht="18" customHeight="1"/>
    <row r="1187" s="34" customFormat="1" ht="18" customHeight="1"/>
    <row r="1188" s="34" customFormat="1" ht="18" customHeight="1"/>
    <row r="1189" s="34" customFormat="1" ht="18" customHeight="1"/>
    <row r="1190" s="34" customFormat="1" ht="18" customHeight="1"/>
    <row r="1191" s="34" customFormat="1" ht="18" customHeight="1"/>
    <row r="1192" s="34" customFormat="1" ht="18" customHeight="1"/>
    <row r="1193" s="34" customFormat="1" ht="18" customHeight="1"/>
    <row r="1194" s="34" customFormat="1" ht="18" customHeight="1"/>
    <row r="1195" s="34" customFormat="1" ht="18" customHeight="1"/>
    <row r="1196" s="34" customFormat="1" ht="18" customHeight="1"/>
    <row r="1197" s="34" customFormat="1" ht="18" customHeight="1"/>
    <row r="1198" s="34" customFormat="1" ht="18" customHeight="1"/>
    <row r="1199" s="34" customFormat="1" ht="18" customHeight="1"/>
    <row r="1200" s="34" customFormat="1" ht="18" customHeight="1"/>
    <row r="1201" s="34" customFormat="1" ht="18" customHeight="1"/>
    <row r="1202" s="34" customFormat="1" ht="18" customHeight="1"/>
    <row r="1203" s="34" customFormat="1" ht="18" customHeight="1"/>
    <row r="1204" s="34" customFormat="1" ht="18" customHeight="1"/>
    <row r="1205" s="34" customFormat="1" ht="18" customHeight="1"/>
    <row r="1206" s="34" customFormat="1" ht="18" customHeight="1"/>
    <row r="1207" s="34" customFormat="1" ht="18" customHeight="1"/>
    <row r="1208" s="34" customFormat="1" ht="18" customHeight="1"/>
    <row r="1209" s="34" customFormat="1" ht="18" customHeight="1"/>
    <row r="1210" s="34" customFormat="1" ht="18" customHeight="1"/>
    <row r="1211" s="34" customFormat="1" ht="18" customHeight="1"/>
    <row r="1212" s="34" customFormat="1" ht="18" customHeight="1"/>
    <row r="1213" s="34" customFormat="1" ht="18" customHeight="1"/>
    <row r="1214" s="34" customFormat="1" ht="18" customHeight="1"/>
    <row r="1215" s="34" customFormat="1" ht="18" customHeight="1"/>
    <row r="1216" s="34" customFormat="1" ht="18" customHeight="1"/>
    <row r="1217" s="34" customFormat="1" ht="18" customHeight="1"/>
    <row r="1218" s="34" customFormat="1" ht="18" customHeight="1"/>
    <row r="1219" s="34" customFormat="1" ht="18" customHeight="1"/>
    <row r="1220" s="34" customFormat="1" ht="18" customHeight="1"/>
    <row r="1221" s="34" customFormat="1" ht="18" customHeight="1"/>
    <row r="1222" s="34" customFormat="1" ht="18" customHeight="1"/>
    <row r="1223" s="34" customFormat="1" ht="18" customHeight="1"/>
    <row r="1224" s="34" customFormat="1" ht="18" customHeight="1"/>
    <row r="1225" s="34" customFormat="1" ht="18" customHeight="1"/>
    <row r="1226" s="34" customFormat="1" ht="18" customHeight="1"/>
    <row r="1227" s="34" customFormat="1" ht="18" customHeight="1"/>
    <row r="1228" s="34" customFormat="1" ht="18" customHeight="1"/>
    <row r="1229" s="34" customFormat="1" ht="18" customHeight="1"/>
    <row r="1230" s="34" customFormat="1" ht="18" customHeight="1"/>
    <row r="1231" s="34" customFormat="1" ht="18" customHeight="1"/>
    <row r="1232" s="34" customFormat="1" ht="18" customHeight="1"/>
    <row r="1233" s="34" customFormat="1" ht="18" customHeight="1"/>
    <row r="1234" s="34" customFormat="1" ht="18" customHeight="1"/>
    <row r="1235" s="34" customFormat="1" ht="18" customHeight="1"/>
    <row r="1236" s="34" customFormat="1" ht="18" customHeight="1"/>
    <row r="1237" s="34" customFormat="1" ht="18" customHeight="1"/>
    <row r="1238" s="34" customFormat="1" ht="18" customHeight="1"/>
    <row r="1239" s="34" customFormat="1" ht="18" customHeight="1"/>
    <row r="1240" s="34" customFormat="1" ht="18" customHeight="1"/>
    <row r="1241" s="34" customFormat="1" ht="18" customHeight="1"/>
    <row r="1242" s="34" customFormat="1" ht="18" customHeight="1"/>
    <row r="1243" s="34" customFormat="1" ht="18" customHeight="1"/>
    <row r="1244" s="34" customFormat="1" ht="18" customHeight="1"/>
    <row r="1245" s="34" customFormat="1" ht="18" customHeight="1"/>
    <row r="1246" s="34" customFormat="1" ht="18" customHeight="1"/>
    <row r="1247" s="34" customFormat="1" ht="18" customHeight="1"/>
    <row r="1248" s="34" customFormat="1" ht="18" customHeight="1"/>
    <row r="1249" s="34" customFormat="1" ht="18" customHeight="1"/>
    <row r="1250" s="34" customFormat="1" ht="18" customHeight="1"/>
    <row r="1251" s="34" customFormat="1" ht="18" customHeight="1"/>
    <row r="1252" s="34" customFormat="1" ht="18" customHeight="1"/>
    <row r="1253" s="34" customFormat="1" ht="18" customHeight="1"/>
    <row r="1254" s="34" customFormat="1" ht="18" customHeight="1"/>
    <row r="1255" s="34" customFormat="1" ht="18" customHeight="1"/>
    <row r="1256" s="34" customFormat="1" ht="18" customHeight="1"/>
    <row r="1257" s="34" customFormat="1" ht="18" customHeight="1"/>
    <row r="1258" s="34" customFormat="1" ht="18" customHeight="1"/>
    <row r="1259" s="34" customFormat="1" ht="18" customHeight="1"/>
    <row r="1260" s="34" customFormat="1" ht="18" customHeight="1"/>
    <row r="1261" s="34" customFormat="1" ht="18" customHeight="1"/>
    <row r="1262" s="34" customFormat="1" ht="18" customHeight="1"/>
    <row r="1263" s="34" customFormat="1" ht="18" customHeight="1"/>
    <row r="1264" s="34" customFormat="1" ht="18" customHeight="1"/>
    <row r="1265" s="34" customFormat="1" ht="18" customHeight="1"/>
    <row r="1266" s="34" customFormat="1" ht="18" customHeight="1"/>
    <row r="1267" s="34" customFormat="1" ht="18" customHeight="1"/>
    <row r="1268" s="34" customFormat="1" ht="18" customHeight="1"/>
    <row r="1269" s="34" customFormat="1" ht="18" customHeight="1"/>
    <row r="1270" s="34" customFormat="1" ht="18" customHeight="1"/>
    <row r="1271" s="34" customFormat="1" ht="18" customHeight="1"/>
    <row r="1272" s="34" customFormat="1" ht="18" customHeight="1"/>
    <row r="1273" s="34" customFormat="1" ht="18" customHeight="1"/>
    <row r="1274" s="34" customFormat="1" ht="18" customHeight="1"/>
    <row r="1275" s="34" customFormat="1" ht="18" customHeight="1"/>
    <row r="1276" s="34" customFormat="1" ht="18" customHeight="1"/>
    <row r="1277" s="34" customFormat="1" ht="18" customHeight="1"/>
    <row r="1278" s="34" customFormat="1" ht="18" customHeight="1"/>
    <row r="1279" s="34" customFormat="1" ht="18" customHeight="1"/>
    <row r="1280" s="34" customFormat="1" ht="18" customHeight="1"/>
    <row r="1281" s="34" customFormat="1" ht="18" customHeight="1"/>
    <row r="1282" s="34" customFormat="1" ht="18" customHeight="1"/>
    <row r="1283" s="34" customFormat="1" ht="18" customHeight="1"/>
    <row r="1284" s="34" customFormat="1" ht="18" customHeight="1"/>
    <row r="1285" s="34" customFormat="1" ht="18" customHeight="1"/>
    <row r="1286" s="34" customFormat="1" ht="18" customHeight="1"/>
    <row r="1287" s="34" customFormat="1" ht="18" customHeight="1"/>
    <row r="1288" s="34" customFormat="1" ht="18" customHeight="1"/>
    <row r="1289" s="34" customFormat="1" ht="18" customHeight="1"/>
    <row r="1290" s="34" customFormat="1" ht="18" customHeight="1"/>
    <row r="1291" s="34" customFormat="1" ht="18" customHeight="1"/>
    <row r="1292" s="34" customFormat="1" ht="18" customHeight="1"/>
    <row r="1293" s="34" customFormat="1" ht="18" customHeight="1"/>
    <row r="1294" s="34" customFormat="1" ht="18" customHeight="1"/>
    <row r="1295" s="34" customFormat="1" ht="18" customHeight="1"/>
    <row r="1296" s="34" customFormat="1" ht="18" customHeight="1"/>
    <row r="1297" s="34" customFormat="1" ht="18" customHeight="1"/>
    <row r="1298" s="34" customFormat="1" ht="18" customHeight="1"/>
    <row r="1299" s="34" customFormat="1" ht="18" customHeight="1"/>
    <row r="1300" s="34" customFormat="1" ht="18" customHeight="1"/>
    <row r="1301" s="34" customFormat="1" ht="18" customHeight="1"/>
    <row r="1302" s="34" customFormat="1" ht="18" customHeight="1"/>
    <row r="1303" s="34" customFormat="1" ht="18" customHeight="1"/>
    <row r="1304" s="34" customFormat="1" ht="18" customHeight="1"/>
    <row r="1305" s="34" customFormat="1" ht="18" customHeight="1"/>
    <row r="1306" s="34" customFormat="1" ht="18" customHeight="1"/>
    <row r="1307" s="34" customFormat="1" ht="18" customHeight="1"/>
    <row r="1308" s="34" customFormat="1" ht="18" customHeight="1"/>
    <row r="1309" s="34" customFormat="1" ht="18" customHeight="1"/>
    <row r="1310" s="34" customFormat="1" ht="18" customHeight="1"/>
    <row r="1311" s="34" customFormat="1" ht="18" customHeight="1"/>
    <row r="1312" s="34" customFormat="1" ht="18" customHeight="1"/>
    <row r="1313" s="34" customFormat="1" ht="18" customHeight="1"/>
    <row r="1314" s="34" customFormat="1" ht="18" customHeight="1"/>
    <row r="1315" s="34" customFormat="1" ht="18" customHeight="1"/>
    <row r="1316" s="34" customFormat="1" ht="18" customHeight="1"/>
    <row r="1317" s="34" customFormat="1" ht="18" customHeight="1"/>
    <row r="1318" s="34" customFormat="1" ht="18" customHeight="1"/>
    <row r="1319" s="34" customFormat="1" ht="18" customHeight="1"/>
    <row r="1320" s="34" customFormat="1" ht="18" customHeight="1"/>
    <row r="1321" s="34" customFormat="1" ht="18" customHeight="1"/>
    <row r="1322" s="34" customFormat="1" ht="18" customHeight="1"/>
    <row r="1323" s="34" customFormat="1" ht="18" customHeight="1"/>
    <row r="1324" s="34" customFormat="1" ht="18" customHeight="1"/>
    <row r="1325" s="34" customFormat="1" ht="18" customHeight="1"/>
    <row r="1326" s="34" customFormat="1" ht="18" customHeight="1"/>
    <row r="1327" s="34" customFormat="1" ht="18" customHeight="1"/>
    <row r="1328" s="34" customFormat="1" ht="18" customHeight="1"/>
    <row r="1329" s="34" customFormat="1" ht="18" customHeight="1"/>
    <row r="1330" s="34" customFormat="1" ht="18" customHeight="1"/>
    <row r="1331" s="34" customFormat="1" ht="18" customHeight="1"/>
    <row r="1332" s="34" customFormat="1" ht="18" customHeight="1"/>
    <row r="1333" s="34" customFormat="1" ht="18" customHeight="1"/>
    <row r="1334" s="34" customFormat="1" ht="18" customHeight="1"/>
    <row r="1335" s="34" customFormat="1" ht="18" customHeight="1"/>
    <row r="1336" s="34" customFormat="1" ht="18" customHeight="1"/>
    <row r="1337" s="34" customFormat="1" ht="18" customHeight="1"/>
    <row r="1338" s="34" customFormat="1" ht="18" customHeight="1"/>
    <row r="1339" s="34" customFormat="1" ht="18" customHeight="1"/>
    <row r="1340" s="34" customFormat="1" ht="18" customHeight="1"/>
    <row r="1341" s="34" customFormat="1" ht="18" customHeight="1"/>
    <row r="1342" s="34" customFormat="1" ht="18" customHeight="1"/>
    <row r="1343" s="34" customFormat="1" ht="18" customHeight="1"/>
    <row r="1344" s="34" customFormat="1" ht="18" customHeight="1"/>
    <row r="1345" s="34" customFormat="1" ht="18" customHeight="1"/>
    <row r="1346" s="34" customFormat="1" ht="18" customHeight="1"/>
    <row r="1347" s="34" customFormat="1" ht="18" customHeight="1"/>
    <row r="1348" s="34" customFormat="1" ht="18" customHeight="1"/>
    <row r="1349" s="34" customFormat="1" ht="18" customHeight="1"/>
    <row r="1350" s="34" customFormat="1" ht="18" customHeight="1"/>
    <row r="1351" s="34" customFormat="1" ht="18" customHeight="1"/>
    <row r="1352" s="34" customFormat="1" ht="18" customHeight="1"/>
    <row r="1353" s="34" customFormat="1" ht="18" customHeight="1"/>
    <row r="1354" s="34" customFormat="1" ht="18" customHeight="1"/>
    <row r="1355" s="34" customFormat="1" ht="18" customHeight="1"/>
    <row r="1356" s="34" customFormat="1" ht="18" customHeight="1"/>
    <row r="1357" s="34" customFormat="1" ht="18" customHeight="1"/>
    <row r="1358" s="34" customFormat="1" ht="18" customHeight="1"/>
    <row r="1359" s="34" customFormat="1" ht="18" customHeight="1"/>
    <row r="1360" s="34" customFormat="1" ht="18" customHeight="1"/>
    <row r="1361" s="34" customFormat="1" ht="18" customHeight="1"/>
    <row r="1362" s="34" customFormat="1" ht="18" customHeight="1"/>
    <row r="1363" s="34" customFormat="1" ht="18" customHeight="1"/>
    <row r="1364" s="34" customFormat="1" ht="18" customHeight="1"/>
    <row r="1365" s="34" customFormat="1" ht="18" customHeight="1"/>
    <row r="1366" s="34" customFormat="1" ht="18" customHeight="1"/>
    <row r="1367" s="34" customFormat="1" ht="18" customHeight="1"/>
    <row r="1368" s="34" customFormat="1" ht="18" customHeight="1"/>
    <row r="1369" s="34" customFormat="1" ht="18" customHeight="1"/>
    <row r="1370" s="34" customFormat="1" ht="18" customHeight="1"/>
    <row r="1371" s="34" customFormat="1" ht="18" customHeight="1"/>
    <row r="1372" s="34" customFormat="1" ht="18" customHeight="1"/>
    <row r="1373" s="34" customFormat="1" ht="18" customHeight="1"/>
    <row r="1374" s="34" customFormat="1" ht="18" customHeight="1"/>
    <row r="1375" s="34" customFormat="1" ht="18" customHeight="1"/>
    <row r="1376" s="34" customFormat="1" ht="18" customHeight="1"/>
    <row r="1377" s="34" customFormat="1" ht="18" customHeight="1"/>
    <row r="1378" s="34" customFormat="1" ht="18" customHeight="1"/>
    <row r="1379" s="34" customFormat="1" ht="18" customHeight="1"/>
    <row r="1380" s="34" customFormat="1" ht="18" customHeight="1"/>
    <row r="1381" s="34" customFormat="1" ht="18" customHeight="1"/>
    <row r="1382" s="34" customFormat="1" ht="18" customHeight="1"/>
    <row r="1383" s="34" customFormat="1" ht="18" customHeight="1"/>
    <row r="1384" s="34" customFormat="1" ht="18" customHeight="1"/>
    <row r="1385" s="34" customFormat="1" ht="18" customHeight="1"/>
    <row r="1386" s="34" customFormat="1" ht="18" customHeight="1"/>
    <row r="1387" s="34" customFormat="1" ht="18" customHeight="1"/>
    <row r="1388" s="34" customFormat="1" ht="18" customHeight="1"/>
    <row r="1389" s="34" customFormat="1" ht="18" customHeight="1"/>
    <row r="1390" s="34" customFormat="1" ht="18" customHeight="1"/>
    <row r="1391" s="34" customFormat="1" ht="18" customHeight="1"/>
    <row r="1392" s="34" customFormat="1" ht="18" customHeight="1"/>
    <row r="1393" s="34" customFormat="1" ht="18" customHeight="1"/>
    <row r="1394" s="34" customFormat="1" ht="18" customHeight="1"/>
    <row r="1395" s="34" customFormat="1" ht="18" customHeight="1"/>
    <row r="1396" s="34" customFormat="1" ht="18" customHeight="1"/>
    <row r="1397" s="34" customFormat="1" ht="18" customHeight="1"/>
    <row r="1398" s="34" customFormat="1" ht="18" customHeight="1"/>
    <row r="1399" s="34" customFormat="1" ht="18" customHeight="1"/>
    <row r="1400" s="34" customFormat="1" ht="18" customHeight="1"/>
    <row r="1401" s="34" customFormat="1" ht="18" customHeight="1"/>
    <row r="1402" s="34" customFormat="1" ht="18" customHeight="1"/>
    <row r="1403" s="34" customFormat="1" ht="18" customHeight="1"/>
    <row r="1404" s="34" customFormat="1" ht="18" customHeight="1"/>
    <row r="1405" s="34" customFormat="1" ht="18" customHeight="1"/>
    <row r="1406" s="34" customFormat="1" ht="18" customHeight="1"/>
    <row r="1407" s="34" customFormat="1" ht="18" customHeight="1"/>
    <row r="1408" s="34" customFormat="1" ht="18" customHeight="1"/>
    <row r="1409" s="34" customFormat="1" ht="18" customHeight="1"/>
    <row r="1410" s="34" customFormat="1" ht="18" customHeight="1"/>
    <row r="1411" s="34" customFormat="1" ht="18" customHeight="1"/>
    <row r="1412" s="34" customFormat="1" ht="18" customHeight="1"/>
    <row r="1413" s="34" customFormat="1" ht="18" customHeight="1"/>
    <row r="1414" s="34" customFormat="1" ht="18" customHeight="1"/>
    <row r="1415" s="34" customFormat="1" ht="18" customHeight="1"/>
    <row r="1416" s="34" customFormat="1" ht="18" customHeight="1"/>
    <row r="1417" s="34" customFormat="1" ht="18" customHeight="1"/>
    <row r="1418" s="34" customFormat="1" ht="18" customHeight="1"/>
    <row r="1419" s="34" customFormat="1" ht="18" customHeight="1"/>
    <row r="1420" s="34" customFormat="1" ht="18" customHeight="1"/>
    <row r="1421" s="34" customFormat="1" ht="18" customHeight="1"/>
    <row r="1422" s="34" customFormat="1" ht="18" customHeight="1"/>
    <row r="1423" s="34" customFormat="1" ht="18" customHeight="1"/>
    <row r="1424" s="34" customFormat="1" ht="18" customHeight="1"/>
    <row r="1425" s="34" customFormat="1" ht="18" customHeight="1"/>
    <row r="1426" s="34" customFormat="1" ht="18" customHeight="1"/>
    <row r="1427" s="34" customFormat="1" ht="18" customHeight="1"/>
    <row r="1428" s="34" customFormat="1" ht="18" customHeight="1"/>
    <row r="1429" s="34" customFormat="1" ht="18" customHeight="1"/>
    <row r="1430" s="34" customFormat="1" ht="18" customHeight="1"/>
    <row r="1431" s="34" customFormat="1" ht="18" customHeight="1"/>
    <row r="1432" s="34" customFormat="1" ht="18" customHeight="1"/>
    <row r="1433" s="34" customFormat="1" ht="18" customHeight="1"/>
    <row r="1434" s="34" customFormat="1" ht="18" customHeight="1"/>
    <row r="1435" s="34" customFormat="1" ht="18" customHeight="1"/>
    <row r="1436" s="34" customFormat="1" ht="18" customHeight="1"/>
    <row r="1437" s="34" customFormat="1" ht="18" customHeight="1"/>
    <row r="1438" s="34" customFormat="1" ht="18" customHeight="1"/>
    <row r="1439" s="34" customFormat="1" ht="18" customHeight="1"/>
    <row r="1440" s="34" customFormat="1" ht="18" customHeight="1"/>
    <row r="1441" s="34" customFormat="1" ht="18" customHeight="1"/>
    <row r="1442" s="34" customFormat="1" ht="18" customHeight="1"/>
    <row r="1443" s="34" customFormat="1" ht="18" customHeight="1"/>
    <row r="1444" s="34" customFormat="1" ht="18" customHeight="1"/>
    <row r="1445" s="34" customFormat="1" ht="18" customHeight="1"/>
    <row r="1446" s="34" customFormat="1" ht="18" customHeight="1"/>
    <row r="1447" s="34" customFormat="1" ht="18" customHeight="1"/>
    <row r="1448" s="34" customFormat="1" ht="18" customHeight="1"/>
    <row r="1449" s="34" customFormat="1" ht="18" customHeight="1"/>
    <row r="1450" s="34" customFormat="1" ht="18" customHeight="1"/>
    <row r="1451" s="34" customFormat="1" ht="18" customHeight="1"/>
    <row r="1452" s="34" customFormat="1" ht="18" customHeight="1"/>
    <row r="1453" s="34" customFormat="1" ht="18" customHeight="1"/>
    <row r="1454" s="34" customFormat="1" ht="18" customHeight="1"/>
    <row r="1455" s="34" customFormat="1" ht="18" customHeight="1"/>
    <row r="1456" s="34" customFormat="1" ht="18" customHeight="1"/>
    <row r="1457" s="34" customFormat="1" ht="18" customHeight="1"/>
    <row r="1458" s="34" customFormat="1" ht="18" customHeight="1"/>
    <row r="1459" s="34" customFormat="1" ht="18" customHeight="1"/>
    <row r="1460" s="34" customFormat="1" ht="18" customHeight="1"/>
    <row r="1461" s="34" customFormat="1" ht="18" customHeight="1"/>
    <row r="1462" s="34" customFormat="1" ht="18" customHeight="1"/>
    <row r="1463" s="34" customFormat="1" ht="18" customHeight="1"/>
    <row r="1464" s="34" customFormat="1" ht="18" customHeight="1"/>
    <row r="1465" s="34" customFormat="1" ht="18" customHeight="1"/>
    <row r="1466" s="34" customFormat="1" ht="18" customHeight="1"/>
    <row r="1467" s="34" customFormat="1" ht="18" customHeight="1"/>
    <row r="1468" s="34" customFormat="1" ht="18" customHeight="1"/>
    <row r="1469" s="34" customFormat="1" ht="18" customHeight="1"/>
    <row r="1470" s="34" customFormat="1" ht="18" customHeight="1"/>
    <row r="1471" s="34" customFormat="1" ht="18" customHeight="1"/>
    <row r="1472" s="34" customFormat="1" ht="18" customHeight="1"/>
    <row r="1473" s="34" customFormat="1" ht="18" customHeight="1"/>
    <row r="1474" s="34" customFormat="1" ht="18" customHeight="1"/>
    <row r="1475" s="34" customFormat="1" ht="18" customHeight="1"/>
    <row r="1476" s="34" customFormat="1" ht="18" customHeight="1"/>
    <row r="1477" s="34" customFormat="1" ht="18" customHeight="1"/>
    <row r="1478" s="34" customFormat="1" ht="18" customHeight="1"/>
    <row r="1479" s="34" customFormat="1" ht="18" customHeight="1"/>
    <row r="1480" s="34" customFormat="1" ht="18" customHeight="1"/>
    <row r="1481" s="34" customFormat="1" ht="18" customHeight="1"/>
    <row r="1482" s="34" customFormat="1" ht="18" customHeight="1"/>
    <row r="1483" s="34" customFormat="1" ht="18" customHeight="1"/>
    <row r="1484" s="34" customFormat="1" ht="18" customHeight="1"/>
    <row r="1485" s="34" customFormat="1" ht="18" customHeight="1"/>
    <row r="1486" s="34" customFormat="1" ht="18" customHeight="1"/>
    <row r="1487" s="34" customFormat="1" ht="18" customHeight="1"/>
    <row r="1488" s="34" customFormat="1" ht="18" customHeight="1"/>
    <row r="1489" s="34" customFormat="1" ht="18" customHeight="1"/>
    <row r="1490" s="34" customFormat="1" ht="18" customHeight="1"/>
    <row r="1491" s="34" customFormat="1" ht="18" customHeight="1"/>
    <row r="1492" s="34" customFormat="1" ht="18" customHeight="1"/>
    <row r="1493" s="34" customFormat="1" ht="18" customHeight="1"/>
    <row r="1494" s="34" customFormat="1" ht="18" customHeight="1"/>
    <row r="1495" s="34" customFormat="1" ht="18" customHeight="1"/>
    <row r="1496" s="34" customFormat="1" ht="18" customHeight="1"/>
    <row r="1497" s="34" customFormat="1" ht="18" customHeight="1"/>
    <row r="1498" s="34" customFormat="1" ht="18" customHeight="1"/>
    <row r="1499" s="34" customFormat="1" ht="18" customHeight="1"/>
    <row r="1500" s="34" customFormat="1" ht="18" customHeight="1"/>
    <row r="1501" s="34" customFormat="1" ht="18" customHeight="1"/>
    <row r="1502" s="34" customFormat="1" ht="18" customHeight="1"/>
    <row r="1503" s="34" customFormat="1" ht="18" customHeight="1"/>
    <row r="1504" s="34" customFormat="1" ht="18" customHeight="1"/>
    <row r="1505" s="34" customFormat="1" ht="18" customHeight="1"/>
    <row r="1506" s="34" customFormat="1" ht="18" customHeight="1"/>
    <row r="1507" s="34" customFormat="1" ht="18" customHeight="1"/>
    <row r="1508" s="34" customFormat="1" ht="18" customHeight="1"/>
    <row r="1509" s="34" customFormat="1" ht="18" customHeight="1"/>
    <row r="1510" s="34" customFormat="1" ht="18" customHeight="1"/>
    <row r="1511" s="34" customFormat="1" ht="18" customHeight="1"/>
    <row r="1512" s="34" customFormat="1" ht="18" customHeight="1"/>
    <row r="1513" s="34" customFormat="1" ht="18" customHeight="1"/>
    <row r="1514" s="34" customFormat="1" ht="18" customHeight="1"/>
    <row r="1515" s="34" customFormat="1" ht="18" customHeight="1"/>
    <row r="1516" s="34" customFormat="1" ht="18" customHeight="1"/>
    <row r="1517" s="34" customFormat="1" ht="18" customHeight="1"/>
    <row r="1518" s="34" customFormat="1" ht="18" customHeight="1"/>
    <row r="1519" s="34" customFormat="1" ht="18" customHeight="1"/>
    <row r="1520" s="34" customFormat="1" ht="18" customHeight="1"/>
    <row r="1521" s="34" customFormat="1" ht="18" customHeight="1"/>
    <row r="1522" s="34" customFormat="1" ht="18" customHeight="1"/>
    <row r="1523" s="34" customFormat="1" ht="18" customHeight="1"/>
    <row r="1524" s="34" customFormat="1" ht="18" customHeight="1"/>
    <row r="1525" s="34" customFormat="1" ht="18" customHeight="1"/>
    <row r="1526" s="34" customFormat="1" ht="18" customHeight="1"/>
    <row r="1527" s="34" customFormat="1" ht="18" customHeight="1"/>
    <row r="1528" s="34" customFormat="1" ht="18" customHeight="1"/>
    <row r="1529" s="34" customFormat="1" ht="18" customHeight="1"/>
    <row r="1530" s="34" customFormat="1" ht="18" customHeight="1"/>
    <row r="1531" s="34" customFormat="1" ht="18" customHeight="1"/>
    <row r="1532" s="34" customFormat="1" ht="18" customHeight="1"/>
    <row r="1533" s="34" customFormat="1" ht="18" customHeight="1"/>
    <row r="1534" s="34" customFormat="1" ht="18" customHeight="1"/>
    <row r="1535" s="34" customFormat="1" ht="18" customHeight="1"/>
    <row r="1536" s="34" customFormat="1" ht="18" customHeight="1"/>
    <row r="1537" s="34" customFormat="1" ht="18" customHeight="1"/>
    <row r="1538" s="34" customFormat="1" ht="18" customHeight="1"/>
    <row r="1539" s="34" customFormat="1" ht="18" customHeight="1"/>
    <row r="1540" s="34" customFormat="1" ht="18" customHeight="1"/>
    <row r="1541" s="34" customFormat="1" ht="18" customHeight="1"/>
    <row r="1542" s="34" customFormat="1" ht="18" customHeight="1"/>
    <row r="1543" s="34" customFormat="1" ht="18" customHeight="1"/>
    <row r="1544" s="34" customFormat="1" ht="18" customHeight="1"/>
    <row r="1545" s="34" customFormat="1" ht="18" customHeight="1"/>
    <row r="1546" s="34" customFormat="1" ht="18" customHeight="1"/>
    <row r="1547" s="34" customFormat="1" ht="18" customHeight="1"/>
    <row r="1548" s="34" customFormat="1" ht="18" customHeight="1"/>
    <row r="1549" s="34" customFormat="1" ht="18" customHeight="1"/>
    <row r="1550" s="34" customFormat="1" ht="18" customHeight="1"/>
    <row r="1551" s="34" customFormat="1" ht="18" customHeight="1"/>
    <row r="1552" s="34" customFormat="1" ht="18" customHeight="1"/>
    <row r="1553" s="34" customFormat="1" ht="18" customHeight="1"/>
    <row r="1554" s="34" customFormat="1" ht="18" customHeight="1"/>
    <row r="1555" s="34" customFormat="1" ht="18" customHeight="1"/>
    <row r="1556" s="34" customFormat="1" ht="18" customHeight="1"/>
    <row r="1557" s="34" customFormat="1" ht="18" customHeight="1"/>
    <row r="1558" s="34" customFormat="1" ht="18" customHeight="1"/>
    <row r="1559" s="34" customFormat="1" ht="18" customHeight="1"/>
    <row r="1560" s="34" customFormat="1" ht="18" customHeight="1"/>
    <row r="1561" s="34" customFormat="1" ht="18" customHeight="1"/>
    <row r="1562" s="34" customFormat="1" ht="18" customHeight="1"/>
    <row r="1563" s="34" customFormat="1" ht="18" customHeight="1"/>
    <row r="1564" s="34" customFormat="1" ht="18" customHeight="1"/>
    <row r="1565" s="34" customFormat="1" ht="18" customHeight="1"/>
    <row r="1566" s="34" customFormat="1" ht="18" customHeight="1"/>
    <row r="1567" s="34" customFormat="1" ht="18" customHeight="1"/>
    <row r="1568" s="34" customFormat="1" ht="18" customHeight="1"/>
    <row r="1569" s="34" customFormat="1" ht="18" customHeight="1"/>
    <row r="1570" s="34" customFormat="1" ht="18" customHeight="1"/>
    <row r="1571" s="34" customFormat="1" ht="18" customHeight="1"/>
    <row r="1572" s="34" customFormat="1" ht="18" customHeight="1"/>
    <row r="1573" s="34" customFormat="1" ht="18" customHeight="1"/>
    <row r="1574" s="34" customFormat="1" ht="18" customHeight="1"/>
    <row r="1575" s="34" customFormat="1" ht="18" customHeight="1"/>
    <row r="1576" s="34" customFormat="1" ht="18" customHeight="1"/>
    <row r="1577" s="34" customFormat="1" ht="18" customHeight="1"/>
    <row r="1578" s="34" customFormat="1" ht="18" customHeight="1"/>
    <row r="1579" s="34" customFormat="1" ht="18" customHeight="1"/>
    <row r="1580" s="34" customFormat="1" ht="18" customHeight="1"/>
    <row r="1581" s="34" customFormat="1" ht="18" customHeight="1"/>
    <row r="1582" s="34" customFormat="1" ht="18" customHeight="1"/>
    <row r="1583" s="34" customFormat="1" ht="18" customHeight="1"/>
    <row r="1584" s="34" customFormat="1" ht="18" customHeight="1"/>
    <row r="1585" s="34" customFormat="1" ht="18" customHeight="1"/>
    <row r="1586" s="34" customFormat="1" ht="18" customHeight="1"/>
    <row r="1587" s="34" customFormat="1" ht="18" customHeight="1"/>
    <row r="1588" s="34" customFormat="1" ht="18" customHeight="1"/>
    <row r="1589" s="34" customFormat="1" ht="18" customHeight="1"/>
    <row r="1590" s="34" customFormat="1" ht="18" customHeight="1"/>
    <row r="1591" s="34" customFormat="1" ht="18" customHeight="1"/>
    <row r="1592" s="34" customFormat="1" ht="18" customHeight="1"/>
    <row r="1593" s="34" customFormat="1" ht="18" customHeight="1"/>
    <row r="1594" s="34" customFormat="1" ht="18" customHeight="1"/>
    <row r="1595" s="34" customFormat="1" ht="18" customHeight="1"/>
    <row r="1596" s="34" customFormat="1" ht="18" customHeight="1"/>
    <row r="1597" s="34" customFormat="1" ht="18" customHeight="1"/>
    <row r="1598" s="34" customFormat="1" ht="18" customHeight="1"/>
    <row r="1599" s="34" customFormat="1" ht="18" customHeight="1"/>
    <row r="1600" s="34" customFormat="1" ht="18" customHeight="1"/>
    <row r="1601" s="34" customFormat="1" ht="18" customHeight="1"/>
    <row r="1602" s="34" customFormat="1" ht="18" customHeight="1"/>
    <row r="1603" s="34" customFormat="1" ht="18" customHeight="1"/>
    <row r="1604" s="34" customFormat="1" ht="18" customHeight="1"/>
    <row r="1605" s="34" customFormat="1" ht="18" customHeight="1"/>
    <row r="1606" s="34" customFormat="1" ht="18" customHeight="1"/>
    <row r="1607" s="34" customFormat="1" ht="18" customHeight="1"/>
    <row r="1608" s="34" customFormat="1" ht="18" customHeight="1"/>
    <row r="1609" s="34" customFormat="1" ht="18" customHeight="1"/>
    <row r="1610" s="34" customFormat="1" ht="18" customHeight="1"/>
    <row r="1611" s="34" customFormat="1" ht="18" customHeight="1"/>
    <row r="1612" s="34" customFormat="1" ht="18" customHeight="1"/>
    <row r="1613" s="34" customFormat="1" ht="18" customHeight="1"/>
    <row r="1614" s="34" customFormat="1" ht="18" customHeight="1"/>
    <row r="1615" s="34" customFormat="1" ht="18" customHeight="1"/>
    <row r="1616" s="34" customFormat="1" ht="18" customHeight="1"/>
    <row r="1617" s="34" customFormat="1" ht="18" customHeight="1"/>
    <row r="1618" s="34" customFormat="1" ht="18" customHeight="1"/>
    <row r="1619" s="34" customFormat="1" ht="18" customHeight="1"/>
    <row r="1620" s="34" customFormat="1" ht="18" customHeight="1"/>
    <row r="1621" s="34" customFormat="1" ht="18" customHeight="1"/>
    <row r="1622" s="34" customFormat="1" ht="18" customHeight="1"/>
    <row r="1623" s="34" customFormat="1" ht="18" customHeight="1"/>
    <row r="1624" s="34" customFormat="1" ht="18" customHeight="1"/>
    <row r="1625" s="34" customFormat="1" ht="18" customHeight="1"/>
    <row r="1626" s="34" customFormat="1" ht="18" customHeight="1"/>
    <row r="1627" s="34" customFormat="1" ht="18" customHeight="1"/>
    <row r="1628" s="34" customFormat="1" ht="18" customHeight="1"/>
    <row r="1629" s="34" customFormat="1" ht="18" customHeight="1"/>
    <row r="1630" s="34" customFormat="1" ht="18" customHeight="1"/>
    <row r="1631" s="34" customFormat="1" ht="18" customHeight="1"/>
    <row r="1632" s="34" customFormat="1" ht="18" customHeight="1"/>
    <row r="1633" s="34" customFormat="1" ht="18" customHeight="1"/>
    <row r="1634" s="34" customFormat="1" ht="18" customHeight="1"/>
    <row r="1635" s="34" customFormat="1" ht="18" customHeight="1"/>
    <row r="1636" s="34" customFormat="1" ht="18" customHeight="1"/>
    <row r="1637" s="34" customFormat="1" ht="18" customHeight="1"/>
    <row r="1638" s="34" customFormat="1" ht="18" customHeight="1"/>
    <row r="1639" s="34" customFormat="1" ht="18" customHeight="1"/>
    <row r="1640" s="34" customFormat="1" ht="18" customHeight="1"/>
    <row r="1641" s="34" customFormat="1" ht="18" customHeight="1"/>
    <row r="1642" s="34" customFormat="1" ht="18" customHeight="1"/>
    <row r="1643" s="34" customFormat="1" ht="18" customHeight="1"/>
    <row r="1644" s="34" customFormat="1" ht="18" customHeight="1"/>
    <row r="1645" s="34" customFormat="1" ht="18" customHeight="1"/>
    <row r="1646" s="34" customFormat="1" ht="18" customHeight="1"/>
    <row r="1647" s="34" customFormat="1" ht="18" customHeight="1"/>
    <row r="1648" s="34" customFormat="1" ht="18" customHeight="1"/>
    <row r="1649" s="34" customFormat="1" ht="18" customHeight="1"/>
    <row r="1650" s="34" customFormat="1" ht="18" customHeight="1"/>
    <row r="1651" s="34" customFormat="1" ht="18" customHeight="1"/>
    <row r="1652" s="34" customFormat="1" ht="18" customHeight="1"/>
    <row r="1653" s="34" customFormat="1" ht="18" customHeight="1"/>
    <row r="1654" s="34" customFormat="1" ht="18" customHeight="1"/>
    <row r="1655" s="34" customFormat="1" ht="18" customHeight="1"/>
    <row r="1656" s="34" customFormat="1" ht="18" customHeight="1"/>
    <row r="1657" s="34" customFormat="1" ht="18" customHeight="1"/>
    <row r="1658" s="34" customFormat="1" ht="18" customHeight="1"/>
    <row r="1659" s="34" customFormat="1" ht="18" customHeight="1"/>
    <row r="1660" s="34" customFormat="1" ht="18" customHeight="1"/>
    <row r="1661" s="34" customFormat="1" ht="18" customHeight="1"/>
    <row r="1662" s="34" customFormat="1" ht="18" customHeight="1"/>
    <row r="1663" s="34" customFormat="1" ht="18" customHeight="1"/>
    <row r="1664" s="34" customFormat="1" ht="18" customHeight="1"/>
    <row r="1665" s="34" customFormat="1" ht="18" customHeight="1"/>
    <row r="1666" s="34" customFormat="1" ht="18" customHeight="1"/>
    <row r="1667" s="34" customFormat="1" ht="18" customHeight="1"/>
    <row r="1668" s="34" customFormat="1" ht="18" customHeight="1"/>
    <row r="1669" s="34" customFormat="1" ht="18" customHeight="1"/>
    <row r="1670" s="34" customFormat="1" ht="18" customHeight="1"/>
    <row r="1671" s="34" customFormat="1" ht="18" customHeight="1"/>
    <row r="1672" s="34" customFormat="1" ht="18" customHeight="1"/>
    <row r="1673" s="34" customFormat="1" ht="18" customHeight="1"/>
    <row r="1674" s="34" customFormat="1" ht="18" customHeight="1"/>
    <row r="1675" s="34" customFormat="1" ht="18" customHeight="1"/>
    <row r="1676" s="34" customFormat="1" ht="18" customHeight="1"/>
    <row r="1677" s="34" customFormat="1" ht="18" customHeight="1"/>
    <row r="1678" s="34" customFormat="1" ht="18" customHeight="1"/>
    <row r="1679" s="34" customFormat="1" ht="18" customHeight="1"/>
    <row r="1680" s="34" customFormat="1" ht="18" customHeight="1"/>
    <row r="1681" s="34" customFormat="1" ht="18" customHeight="1"/>
    <row r="1682" s="34" customFormat="1" ht="18" customHeight="1"/>
    <row r="1683" s="34" customFormat="1" ht="18" customHeight="1"/>
    <row r="1684" s="34" customFormat="1" ht="18" customHeight="1"/>
    <row r="1685" s="34" customFormat="1" ht="18" customHeight="1"/>
    <row r="1686" s="34" customFormat="1" ht="18" customHeight="1"/>
    <row r="1687" s="34" customFormat="1" ht="18" customHeight="1"/>
    <row r="1688" s="34" customFormat="1" ht="18" customHeight="1"/>
    <row r="1689" s="34" customFormat="1" ht="18" customHeight="1"/>
    <row r="1690" s="34" customFormat="1" ht="18" customHeight="1"/>
    <row r="1691" s="34" customFormat="1" ht="18" customHeight="1"/>
    <row r="1692" s="34" customFormat="1" ht="18" customHeight="1"/>
    <row r="1693" s="34" customFormat="1" ht="18" customHeight="1"/>
    <row r="1694" s="34" customFormat="1" ht="18" customHeight="1"/>
    <row r="1695" s="34" customFormat="1" ht="18" customHeight="1"/>
    <row r="1696" s="34" customFormat="1" ht="18" customHeight="1"/>
    <row r="1697" s="34" customFormat="1" ht="18" customHeight="1"/>
    <row r="1698" s="34" customFormat="1" ht="18" customHeight="1"/>
    <row r="1699" s="34" customFormat="1" ht="18" customHeight="1"/>
    <row r="1700" s="34" customFormat="1" ht="18" customHeight="1"/>
    <row r="1701" s="34" customFormat="1" ht="18" customHeight="1"/>
    <row r="1702" s="34" customFormat="1" ht="18" customHeight="1"/>
    <row r="1703" s="34" customFormat="1" ht="18" customHeight="1"/>
    <row r="1704" s="34" customFormat="1" ht="18" customHeight="1"/>
    <row r="1705" s="34" customFormat="1" ht="18" customHeight="1"/>
    <row r="1706" s="34" customFormat="1" ht="18" customHeight="1"/>
    <row r="1707" s="34" customFormat="1" ht="18" customHeight="1"/>
    <row r="1708" s="34" customFormat="1" ht="18" customHeight="1"/>
    <row r="1709" s="34" customFormat="1" ht="18" customHeight="1"/>
    <row r="1710" s="34" customFormat="1" ht="18" customHeight="1"/>
    <row r="1711" s="34" customFormat="1" ht="18" customHeight="1"/>
    <row r="1712" s="34" customFormat="1" ht="18" customHeight="1"/>
    <row r="1713" s="34" customFormat="1" ht="18" customHeight="1"/>
    <row r="1714" s="34" customFormat="1" ht="18" customHeight="1"/>
    <row r="1715" s="34" customFormat="1" ht="18" customHeight="1"/>
    <row r="1716" s="34" customFormat="1" ht="18" customHeight="1"/>
    <row r="1717" s="34" customFormat="1" ht="18" customHeight="1"/>
    <row r="1718" s="34" customFormat="1" ht="18" customHeight="1"/>
    <row r="1719" s="34" customFormat="1" ht="18" customHeight="1"/>
    <row r="1720" s="34" customFormat="1" ht="18" customHeight="1"/>
    <row r="1721" s="34" customFormat="1" ht="18" customHeight="1"/>
    <row r="1722" s="34" customFormat="1" ht="18" customHeight="1"/>
    <row r="1723" s="34" customFormat="1" ht="18" customHeight="1"/>
    <row r="1724" s="34" customFormat="1" ht="18" customHeight="1"/>
    <row r="1725" s="34" customFormat="1" ht="18" customHeight="1"/>
    <row r="1726" s="34" customFormat="1" ht="18" customHeight="1"/>
    <row r="1727" s="34" customFormat="1" ht="18" customHeight="1"/>
    <row r="1728" s="34" customFormat="1" ht="18" customHeight="1"/>
    <row r="1729" s="34" customFormat="1" ht="18" customHeight="1"/>
    <row r="1730" s="34" customFormat="1" ht="18" customHeight="1"/>
    <row r="1731" s="34" customFormat="1" ht="18" customHeight="1"/>
    <row r="1732" s="34" customFormat="1" ht="18" customHeight="1"/>
    <row r="1733" s="34" customFormat="1" ht="18" customHeight="1"/>
    <row r="1734" s="34" customFormat="1" ht="18" customHeight="1"/>
    <row r="1735" s="34" customFormat="1" ht="18" customHeight="1"/>
    <row r="1736" s="34" customFormat="1" ht="18" customHeight="1"/>
    <row r="1737" s="34" customFormat="1" ht="18" customHeight="1"/>
    <row r="1738" s="34" customFormat="1" ht="18" customHeight="1"/>
    <row r="1739" s="34" customFormat="1" ht="18" customHeight="1"/>
    <row r="1740" s="34" customFormat="1" ht="18" customHeight="1"/>
    <row r="1741" s="34" customFormat="1" ht="18" customHeight="1"/>
    <row r="1742" s="34" customFormat="1" ht="18" customHeight="1"/>
    <row r="1743" s="34" customFormat="1" ht="18" customHeight="1"/>
    <row r="1744" s="34" customFormat="1" ht="18" customHeight="1"/>
    <row r="1745" s="34" customFormat="1" ht="18" customHeight="1"/>
    <row r="1746" s="34" customFormat="1" ht="18" customHeight="1"/>
    <row r="1747" s="34" customFormat="1" ht="18" customHeight="1"/>
    <row r="1748" s="34" customFormat="1" ht="18" customHeight="1"/>
    <row r="1749" s="34" customFormat="1" ht="18" customHeight="1"/>
    <row r="1750" s="34" customFormat="1" ht="18" customHeight="1"/>
    <row r="1751" s="34" customFormat="1" ht="18" customHeight="1"/>
    <row r="1752" s="34" customFormat="1" ht="18" customHeight="1"/>
    <row r="1753" s="34" customFormat="1" ht="18" customHeight="1"/>
    <row r="1754" s="34" customFormat="1" ht="18" customHeight="1"/>
    <row r="1755" s="34" customFormat="1" ht="18" customHeight="1"/>
    <row r="1756" s="34" customFormat="1" ht="18" customHeight="1"/>
    <row r="1757" s="34" customFormat="1" ht="18" customHeight="1"/>
    <row r="1758" s="34" customFormat="1" ht="18" customHeight="1"/>
    <row r="1759" s="34" customFormat="1" ht="18" customHeight="1"/>
    <row r="1760" s="34" customFormat="1" ht="18" customHeight="1"/>
    <row r="1761" s="34" customFormat="1" ht="18" customHeight="1"/>
    <row r="1762" s="34" customFormat="1" ht="18" customHeight="1"/>
    <row r="1763" s="34" customFormat="1" ht="18" customHeight="1"/>
    <row r="1764" s="34" customFormat="1" ht="18" customHeight="1"/>
    <row r="1765" s="34" customFormat="1" ht="18" customHeight="1"/>
    <row r="1766" s="34" customFormat="1" ht="18" customHeight="1"/>
    <row r="1767" s="34" customFormat="1" ht="18" customHeight="1"/>
    <row r="1768" s="34" customFormat="1" ht="18" customHeight="1"/>
    <row r="1769" s="34" customFormat="1" ht="18" customHeight="1"/>
    <row r="1770" s="34" customFormat="1" ht="18" customHeight="1"/>
    <row r="1771" s="34" customFormat="1" ht="18" customHeight="1"/>
    <row r="1772" s="34" customFormat="1" ht="18" customHeight="1"/>
    <row r="1773" s="34" customFormat="1" ht="18" customHeight="1"/>
    <row r="1774" s="34" customFormat="1" ht="18" customHeight="1"/>
    <row r="1775" s="34" customFormat="1" ht="18" customHeight="1"/>
    <row r="1776" s="34" customFormat="1" ht="18" customHeight="1"/>
    <row r="1777" s="34" customFormat="1" ht="18" customHeight="1"/>
    <row r="1778" s="34" customFormat="1" ht="18" customHeight="1"/>
    <row r="1779" s="34" customFormat="1" ht="18" customHeight="1"/>
    <row r="1780" s="34" customFormat="1" ht="18" customHeight="1"/>
    <row r="1781" s="34" customFormat="1" ht="18" customHeight="1"/>
    <row r="1782" s="34" customFormat="1" ht="18" customHeight="1"/>
    <row r="1783" s="34" customFormat="1" ht="18" customHeight="1"/>
    <row r="1784" s="34" customFormat="1" ht="18" customHeight="1"/>
    <row r="1785" s="34" customFormat="1" ht="18" customHeight="1"/>
    <row r="1786" s="34" customFormat="1" ht="18" customHeight="1"/>
    <row r="1787" s="34" customFormat="1" ht="18" customHeight="1"/>
    <row r="1788" s="34" customFormat="1" ht="18" customHeight="1"/>
    <row r="1789" s="34" customFormat="1" ht="18" customHeight="1"/>
    <row r="1790" s="34" customFormat="1" ht="18" customHeight="1"/>
    <row r="1791" s="34" customFormat="1" ht="18" customHeight="1"/>
    <row r="1792" s="34" customFormat="1" ht="18" customHeight="1"/>
    <row r="1793" s="34" customFormat="1" ht="18" customHeight="1"/>
    <row r="1794" s="34" customFormat="1" ht="18" customHeight="1"/>
    <row r="1795" s="34" customFormat="1" ht="18" customHeight="1"/>
    <row r="1796" s="34" customFormat="1" ht="18" customHeight="1"/>
    <row r="1797" s="34" customFormat="1" ht="18" customHeight="1"/>
    <row r="1798" s="34" customFormat="1" ht="18" customHeight="1"/>
    <row r="1799" s="34" customFormat="1" ht="18" customHeight="1"/>
    <row r="1800" s="34" customFormat="1" ht="18" customHeight="1"/>
    <row r="1801" s="34" customFormat="1" ht="18" customHeight="1"/>
    <row r="1802" s="34" customFormat="1" ht="18" customHeight="1"/>
    <row r="1803" s="34" customFormat="1" ht="18" customHeight="1"/>
    <row r="1804" s="34" customFormat="1" ht="18" customHeight="1"/>
    <row r="1805" s="34" customFormat="1" ht="18" customHeight="1"/>
    <row r="1806" s="34" customFormat="1" ht="18" customHeight="1"/>
    <row r="1807" s="34" customFormat="1" ht="18" customHeight="1"/>
    <row r="1808" s="34" customFormat="1" ht="18" customHeight="1"/>
    <row r="1809" s="34" customFormat="1" ht="18" customHeight="1"/>
    <row r="1810" s="34" customFormat="1" ht="18" customHeight="1"/>
    <row r="1811" s="34" customFormat="1" ht="18" customHeight="1"/>
    <row r="1812" s="34" customFormat="1" ht="18" customHeight="1"/>
    <row r="1813" s="34" customFormat="1" ht="18" customHeight="1"/>
    <row r="1814" s="34" customFormat="1" ht="18" customHeight="1"/>
    <row r="1815" s="34" customFormat="1" ht="18" customHeight="1"/>
    <row r="1816" s="34" customFormat="1" ht="18" customHeight="1"/>
    <row r="1817" s="34" customFormat="1" ht="18" customHeight="1"/>
    <row r="1818" s="34" customFormat="1" ht="18" customHeight="1"/>
    <row r="1819" s="34" customFormat="1" ht="18" customHeight="1"/>
    <row r="1820" s="34" customFormat="1" ht="18" customHeight="1"/>
    <row r="1821" s="34" customFormat="1" ht="18" customHeight="1"/>
    <row r="1822" s="34" customFormat="1" ht="18" customHeight="1"/>
    <row r="1823" s="34" customFormat="1" ht="18" customHeight="1"/>
    <row r="1824" s="34" customFormat="1" ht="18" customHeight="1"/>
    <row r="1825" s="34" customFormat="1" ht="18" customHeight="1"/>
    <row r="1826" s="34" customFormat="1" ht="18" customHeight="1"/>
    <row r="1827" s="34" customFormat="1" ht="18" customHeight="1"/>
    <row r="1828" s="34" customFormat="1" ht="18" customHeight="1"/>
    <row r="1829" s="34" customFormat="1" ht="18" customHeight="1"/>
    <row r="1830" s="34" customFormat="1" ht="18" customHeight="1"/>
    <row r="1831" s="34" customFormat="1" ht="18" customHeight="1"/>
    <row r="1832" s="34" customFormat="1" ht="18" customHeight="1"/>
    <row r="1833" s="34" customFormat="1" ht="18" customHeight="1"/>
    <row r="1834" s="34" customFormat="1" ht="18" customHeight="1"/>
    <row r="1835" s="34" customFormat="1" ht="18" customHeight="1"/>
    <row r="1836" s="34" customFormat="1" ht="18" customHeight="1"/>
    <row r="1837" s="34" customFormat="1" ht="18" customHeight="1"/>
    <row r="1838" s="34" customFormat="1" ht="18" customHeight="1"/>
    <row r="1839" s="34" customFormat="1" ht="18" customHeight="1"/>
    <row r="1840" s="34" customFormat="1" ht="18" customHeight="1"/>
    <row r="1841" s="34" customFormat="1" ht="18" customHeight="1"/>
    <row r="1842" s="34" customFormat="1" ht="18" customHeight="1"/>
    <row r="1843" s="34" customFormat="1" ht="18" customHeight="1"/>
    <row r="1844" s="34" customFormat="1" ht="18" customHeight="1"/>
    <row r="1845" s="34" customFormat="1" ht="18" customHeight="1"/>
    <row r="1846" s="34" customFormat="1" ht="18" customHeight="1"/>
    <row r="1847" s="34" customFormat="1" ht="18" customHeight="1"/>
    <row r="1848" s="34" customFormat="1" ht="18" customHeight="1"/>
    <row r="1849" s="34" customFormat="1" ht="18" customHeight="1"/>
    <row r="1850" s="34" customFormat="1" ht="18" customHeight="1"/>
    <row r="1851" s="34" customFormat="1" ht="18" customHeight="1"/>
    <row r="1852" s="34" customFormat="1" ht="18" customHeight="1"/>
    <row r="1853" s="34" customFormat="1" ht="18" customHeight="1"/>
    <row r="1854" s="34" customFormat="1" ht="18" customHeight="1"/>
    <row r="1855" s="34" customFormat="1" ht="18" customHeight="1"/>
    <row r="1856" s="34" customFormat="1" ht="18" customHeight="1"/>
    <row r="1857" s="34" customFormat="1" ht="18" customHeight="1"/>
    <row r="1858" s="34" customFormat="1" ht="18" customHeight="1"/>
    <row r="1859" s="34" customFormat="1" ht="18" customHeight="1"/>
    <row r="1860" s="34" customFormat="1" ht="18" customHeight="1"/>
    <row r="1861" s="34" customFormat="1" ht="18" customHeight="1"/>
    <row r="1862" s="34" customFormat="1" ht="18" customHeight="1"/>
    <row r="1863" s="34" customFormat="1" ht="18" customHeight="1"/>
    <row r="1864" s="34" customFormat="1" ht="18" customHeight="1"/>
    <row r="1865" s="34" customFormat="1" ht="18" customHeight="1"/>
    <row r="1866" s="34" customFormat="1" ht="18" customHeight="1"/>
    <row r="1867" s="34" customFormat="1" ht="18" customHeight="1"/>
    <row r="1868" s="34" customFormat="1" ht="18" customHeight="1"/>
    <row r="1869" s="34" customFormat="1" ht="18" customHeight="1"/>
    <row r="1870" s="34" customFormat="1" ht="18" customHeight="1"/>
    <row r="1871" s="34" customFormat="1" ht="18" customHeight="1"/>
    <row r="1872" s="34" customFormat="1" ht="18" customHeight="1"/>
    <row r="1873" s="34" customFormat="1" ht="18" customHeight="1"/>
    <row r="1874" s="34" customFormat="1" ht="18" customHeight="1"/>
    <row r="1875" s="34" customFormat="1" ht="18" customHeight="1"/>
    <row r="1876" s="34" customFormat="1" ht="18" customHeight="1"/>
    <row r="1877" s="34" customFormat="1" ht="18" customHeight="1"/>
    <row r="1878" s="34" customFormat="1" ht="18" customHeight="1"/>
    <row r="1879" s="34" customFormat="1" ht="18" customHeight="1"/>
    <row r="1880" s="34" customFormat="1" ht="18" customHeight="1"/>
    <row r="1881" s="34" customFormat="1" ht="18" customHeight="1"/>
    <row r="1882" s="34" customFormat="1" ht="18" customHeight="1"/>
    <row r="1883" s="34" customFormat="1" ht="18" customHeight="1"/>
    <row r="1884" s="34" customFormat="1" ht="18" customHeight="1"/>
    <row r="1885" s="34" customFormat="1" ht="18" customHeight="1"/>
    <row r="1886" s="34" customFormat="1" ht="18" customHeight="1"/>
    <row r="1887" s="34" customFormat="1" ht="18" customHeight="1"/>
    <row r="1888" s="34" customFormat="1" ht="18" customHeight="1"/>
    <row r="1889" s="34" customFormat="1" ht="18" customHeight="1"/>
    <row r="1890" s="34" customFormat="1" ht="18" customHeight="1"/>
    <row r="1891" s="34" customFormat="1" ht="18" customHeight="1"/>
    <row r="1892" s="34" customFormat="1" ht="18" customHeight="1"/>
    <row r="1893" s="34" customFormat="1" ht="18" customHeight="1"/>
    <row r="1894" s="34" customFormat="1" ht="18" customHeight="1"/>
    <row r="1895" s="34" customFormat="1" ht="18" customHeight="1"/>
    <row r="1896" s="34" customFormat="1" ht="18" customHeight="1"/>
    <row r="1897" s="34" customFormat="1" ht="18" customHeight="1"/>
    <row r="1898" s="34" customFormat="1" ht="18" customHeight="1"/>
    <row r="1899" s="34" customFormat="1" ht="18" customHeight="1"/>
    <row r="1900" s="34" customFormat="1" ht="18" customHeight="1"/>
    <row r="1901" s="34" customFormat="1" ht="18" customHeight="1"/>
    <row r="1902" s="34" customFormat="1" ht="18" customHeight="1"/>
    <row r="1903" s="34" customFormat="1" ht="18" customHeight="1"/>
    <row r="1904" s="34" customFormat="1" ht="18" customHeight="1"/>
    <row r="1905" s="34" customFormat="1" ht="18" customHeight="1"/>
    <row r="1906" s="34" customFormat="1" ht="18" customHeight="1"/>
    <row r="1907" s="34" customFormat="1" ht="18" customHeight="1"/>
    <row r="1908" s="34" customFormat="1" ht="18" customHeight="1"/>
    <row r="1909" s="34" customFormat="1" ht="18" customHeight="1"/>
    <row r="1910" s="34" customFormat="1" ht="18" customHeight="1"/>
    <row r="1911" s="34" customFormat="1" ht="18" customHeight="1"/>
    <row r="1912" s="34" customFormat="1" ht="18" customHeight="1"/>
    <row r="1913" s="34" customFormat="1" ht="18" customHeight="1"/>
    <row r="1914" s="34" customFormat="1" ht="18" customHeight="1"/>
    <row r="1915" s="34" customFormat="1" ht="18" customHeight="1"/>
    <row r="1916" s="34" customFormat="1" ht="18" customHeight="1"/>
    <row r="1917" s="34" customFormat="1" ht="18" customHeight="1"/>
    <row r="1918" s="34" customFormat="1" ht="18" customHeight="1"/>
    <row r="1919" s="34" customFormat="1" ht="18" customHeight="1"/>
    <row r="1920" s="34" customFormat="1" ht="18" customHeight="1"/>
    <row r="1921" s="34" customFormat="1" ht="18" customHeight="1"/>
    <row r="1922" s="34" customFormat="1" ht="18" customHeight="1"/>
    <row r="1923" s="34" customFormat="1" ht="18" customHeight="1"/>
    <row r="1924" s="34" customFormat="1" ht="18" customHeight="1"/>
    <row r="1925" s="34" customFormat="1" ht="18" customHeight="1"/>
    <row r="1926" s="34" customFormat="1" ht="18" customHeight="1"/>
    <row r="1927" s="34" customFormat="1" ht="18" customHeight="1"/>
    <row r="1928" s="34" customFormat="1" ht="18" customHeight="1"/>
    <row r="1929" s="34" customFormat="1" ht="18" customHeight="1"/>
    <row r="1930" s="34" customFormat="1" ht="18" customHeight="1"/>
    <row r="1931" s="34" customFormat="1" ht="18" customHeight="1"/>
    <row r="1932" s="34" customFormat="1" ht="18" customHeight="1"/>
    <row r="1933" s="34" customFormat="1" ht="18" customHeight="1"/>
    <row r="1934" s="34" customFormat="1" ht="18" customHeight="1"/>
    <row r="1935" s="34" customFormat="1" ht="18" customHeight="1"/>
    <row r="1936" s="34" customFormat="1" ht="18" customHeight="1"/>
    <row r="1937" s="34" customFormat="1" ht="18" customHeight="1"/>
    <row r="1938" s="34" customFormat="1" ht="18" customHeight="1"/>
    <row r="1939" s="34" customFormat="1" ht="18" customHeight="1"/>
    <row r="1940" s="34" customFormat="1" ht="18" customHeight="1"/>
    <row r="1941" s="34" customFormat="1" ht="18" customHeight="1"/>
    <row r="1942" s="34" customFormat="1" ht="18" customHeight="1"/>
    <row r="1943" s="34" customFormat="1" ht="18" customHeight="1"/>
    <row r="1944" s="34" customFormat="1" ht="18" customHeight="1"/>
    <row r="1945" s="34" customFormat="1" ht="18" customHeight="1"/>
    <row r="1946" s="34" customFormat="1" ht="18" customHeight="1"/>
    <row r="1947" s="34" customFormat="1" ht="18" customHeight="1"/>
    <row r="1948" s="34" customFormat="1" ht="18" customHeight="1"/>
    <row r="1949" s="34" customFormat="1" ht="18" customHeight="1"/>
    <row r="1950" s="34" customFormat="1" ht="18" customHeight="1"/>
    <row r="1951" s="34" customFormat="1" ht="18" customHeight="1"/>
    <row r="1952" s="34" customFormat="1" ht="18" customHeight="1"/>
    <row r="1953" s="34" customFormat="1" ht="18" customHeight="1"/>
    <row r="1954" s="34" customFormat="1" ht="18" customHeight="1"/>
    <row r="1955" s="34" customFormat="1" ht="18" customHeight="1"/>
    <row r="1956" s="34" customFormat="1" ht="18" customHeight="1"/>
    <row r="1957" s="34" customFormat="1" ht="18" customHeight="1"/>
    <row r="1958" s="34" customFormat="1" ht="18" customHeight="1"/>
    <row r="1959" s="34" customFormat="1" ht="18" customHeight="1"/>
    <row r="1960" s="34" customFormat="1" ht="18" customHeight="1"/>
    <row r="1961" s="34" customFormat="1" ht="18" customHeight="1"/>
    <row r="1962" s="34" customFormat="1" ht="18" customHeight="1"/>
    <row r="1963" s="34" customFormat="1" ht="18" customHeight="1"/>
    <row r="1964" s="34" customFormat="1" ht="18" customHeight="1"/>
    <row r="1965" s="34" customFormat="1" ht="18" customHeight="1"/>
    <row r="1966" s="34" customFormat="1" ht="18" customHeight="1"/>
    <row r="1967" s="34" customFormat="1" ht="18" customHeight="1"/>
    <row r="1968" s="34" customFormat="1" ht="18" customHeight="1"/>
    <row r="1969" s="34" customFormat="1" ht="18" customHeight="1"/>
    <row r="1970" s="34" customFormat="1" ht="18" customHeight="1"/>
    <row r="1971" s="34" customFormat="1" ht="18" customHeight="1"/>
    <row r="1972" s="34" customFormat="1" ht="18" customHeight="1"/>
    <row r="1973" s="34" customFormat="1" ht="18" customHeight="1"/>
    <row r="1974" s="34" customFormat="1" ht="18" customHeight="1"/>
    <row r="1975" s="34" customFormat="1" ht="18" customHeight="1"/>
    <row r="1976" s="34" customFormat="1" ht="18" customHeight="1"/>
    <row r="1977" s="34" customFormat="1" ht="18" customHeight="1"/>
    <row r="1978" s="34" customFormat="1" ht="18" customHeight="1"/>
    <row r="1979" s="34" customFormat="1" ht="18" customHeight="1"/>
    <row r="1980" s="34" customFormat="1" ht="18" customHeight="1"/>
    <row r="1981" s="34" customFormat="1" ht="18" customHeight="1"/>
    <row r="1982" s="34" customFormat="1" ht="18" customHeight="1"/>
    <row r="1983" s="34" customFormat="1" ht="18" customHeight="1"/>
    <row r="1984" s="34" customFormat="1" ht="18" customHeight="1"/>
    <row r="1985" s="34" customFormat="1" ht="18" customHeight="1"/>
    <row r="1986" s="34" customFormat="1" ht="18" customHeight="1"/>
  </sheetData>
  <sheetProtection password="C1B6" sheet="1" objects="1" scenarios="1"/>
  <mergeCells count="255">
    <mergeCell ref="A1034:F1034"/>
    <mergeCell ref="A1036:F1036"/>
    <mergeCell ref="A1079:M1079"/>
    <mergeCell ref="A1091:M1091"/>
    <mergeCell ref="A1093:M1093"/>
    <mergeCell ref="A1082:F1082"/>
    <mergeCell ref="I1082:J1082"/>
    <mergeCell ref="L1082:M1082"/>
    <mergeCell ref="A1083:F1083"/>
    <mergeCell ref="I1083:J1083"/>
    <mergeCell ref="L1083:M1083"/>
    <mergeCell ref="A1160:F1160"/>
    <mergeCell ref="I1160:J1160"/>
    <mergeCell ref="L1160:M1160"/>
    <mergeCell ref="A1100:M1100"/>
    <mergeCell ref="A883:F883"/>
    <mergeCell ref="I883:J883"/>
    <mergeCell ref="L883:M883"/>
    <mergeCell ref="A884:F884"/>
    <mergeCell ref="I884:J884"/>
    <mergeCell ref="L884:M884"/>
    <mergeCell ref="A952:F952"/>
    <mergeCell ref="I952:J952"/>
    <mergeCell ref="L952:M952"/>
    <mergeCell ref="A896:F896"/>
    <mergeCell ref="A891:M891"/>
    <mergeCell ref="A886:M886"/>
    <mergeCell ref="A1031:M1031"/>
    <mergeCell ref="J1032:L1032"/>
    <mergeCell ref="A1033:F1033"/>
    <mergeCell ref="A964:M964"/>
    <mergeCell ref="J965:L965"/>
    <mergeCell ref="A966:F966"/>
    <mergeCell ref="A967:F967"/>
    <mergeCell ref="A969:F969"/>
    <mergeCell ref="L399:M399"/>
    <mergeCell ref="A462:F462"/>
    <mergeCell ref="I462:J462"/>
    <mergeCell ref="L462:M462"/>
    <mergeCell ref="A463:F463"/>
    <mergeCell ref="I463:J463"/>
    <mergeCell ref="L463:M463"/>
    <mergeCell ref="A531:F531"/>
    <mergeCell ref="I531:J531"/>
    <mergeCell ref="L531:M531"/>
    <mergeCell ref="A406:M406"/>
    <mergeCell ref="A399:F399"/>
    <mergeCell ref="I399:J399"/>
    <mergeCell ref="J479:L479"/>
    <mergeCell ref="A480:F480"/>
    <mergeCell ref="A481:F481"/>
    <mergeCell ref="A483:F483"/>
    <mergeCell ref="A478:M478"/>
    <mergeCell ref="A472:M472"/>
    <mergeCell ref="A415:F415"/>
    <mergeCell ref="A417:F417"/>
    <mergeCell ref="A412:M412"/>
    <mergeCell ref="J413:L413"/>
    <mergeCell ref="A414:F414"/>
    <mergeCell ref="A279:M279"/>
    <mergeCell ref="A335:F335"/>
    <mergeCell ref="I335:J335"/>
    <mergeCell ref="L335:M335"/>
    <mergeCell ref="A336:F336"/>
    <mergeCell ref="I336:J336"/>
    <mergeCell ref="L336:M336"/>
    <mergeCell ref="A398:F398"/>
    <mergeCell ref="I398:J398"/>
    <mergeCell ref="L398:M398"/>
    <mergeCell ref="J285:L285"/>
    <mergeCell ref="A286:F286"/>
    <mergeCell ref="A287:F287"/>
    <mergeCell ref="A289:F289"/>
    <mergeCell ref="A345:M345"/>
    <mergeCell ref="J346:L346"/>
    <mergeCell ref="A347:F347"/>
    <mergeCell ref="A348:F348"/>
    <mergeCell ref="A350:F350"/>
    <mergeCell ref="A339:M339"/>
    <mergeCell ref="A138:F138"/>
    <mergeCell ref="I138:J138"/>
    <mergeCell ref="L138:M138"/>
    <mergeCell ref="A142:M142"/>
    <mergeCell ref="A274:F274"/>
    <mergeCell ref="I274:J274"/>
    <mergeCell ref="L274:M274"/>
    <mergeCell ref="A275:F275"/>
    <mergeCell ref="I275:J275"/>
    <mergeCell ref="L275:M275"/>
    <mergeCell ref="A206:F206"/>
    <mergeCell ref="I206:J206"/>
    <mergeCell ref="L206:M206"/>
    <mergeCell ref="A207:F207"/>
    <mergeCell ref="I207:J207"/>
    <mergeCell ref="L207:M207"/>
    <mergeCell ref="A139:M139"/>
    <mergeCell ref="A140:M140"/>
    <mergeCell ref="A141:M141"/>
    <mergeCell ref="D152:F152"/>
    <mergeCell ref="D183:F183"/>
    <mergeCell ref="D184:F184"/>
    <mergeCell ref="D185:F185"/>
    <mergeCell ref="D186:F186"/>
    <mergeCell ref="A74:F74"/>
    <mergeCell ref="I74:J74"/>
    <mergeCell ref="L74:M74"/>
    <mergeCell ref="A75:F75"/>
    <mergeCell ref="I75:J75"/>
    <mergeCell ref="L75:M75"/>
    <mergeCell ref="A78:M78"/>
    <mergeCell ref="A137:F137"/>
    <mergeCell ref="I137:J137"/>
    <mergeCell ref="L137:M137"/>
    <mergeCell ref="A526:M526"/>
    <mergeCell ref="A546:M546"/>
    <mergeCell ref="J547:L547"/>
    <mergeCell ref="A548:F548"/>
    <mergeCell ref="A549:F549"/>
    <mergeCell ref="A551:F551"/>
    <mergeCell ref="A537:M537"/>
    <mergeCell ref="A540:M540"/>
    <mergeCell ref="A532:F532"/>
    <mergeCell ref="I532:J532"/>
    <mergeCell ref="L532:M532"/>
    <mergeCell ref="A826:F826"/>
    <mergeCell ref="A828:F828"/>
    <mergeCell ref="A823:M823"/>
    <mergeCell ref="A825:F825"/>
    <mergeCell ref="J824:L824"/>
    <mergeCell ref="J892:L892"/>
    <mergeCell ref="A893:F893"/>
    <mergeCell ref="A894:F894"/>
    <mergeCell ref="A616:F616"/>
    <mergeCell ref="A618:F618"/>
    <mergeCell ref="A676:M676"/>
    <mergeCell ref="A677:M677"/>
    <mergeCell ref="A678:M678"/>
    <mergeCell ref="A679:M679"/>
    <mergeCell ref="A667:F667"/>
    <mergeCell ref="I667:J667"/>
    <mergeCell ref="L667:M667"/>
    <mergeCell ref="A668:F668"/>
    <mergeCell ref="I668:J668"/>
    <mergeCell ref="L668:M668"/>
    <mergeCell ref="A738:F738"/>
    <mergeCell ref="I738:J738"/>
    <mergeCell ref="L738:M738"/>
    <mergeCell ref="A739:F739"/>
    <mergeCell ref="A957:M957"/>
    <mergeCell ref="A1025:M1025"/>
    <mergeCell ref="A1016:F1016"/>
    <mergeCell ref="A953:F953"/>
    <mergeCell ref="I953:J953"/>
    <mergeCell ref="L953:M953"/>
    <mergeCell ref="A1015:F1015"/>
    <mergeCell ref="I1015:J1015"/>
    <mergeCell ref="L1015:M1015"/>
    <mergeCell ref="I1016:J1016"/>
    <mergeCell ref="L1016:M1016"/>
    <mergeCell ref="A1166:M1166"/>
    <mergeCell ref="J1101:L1101"/>
    <mergeCell ref="A1102:F1102"/>
    <mergeCell ref="A1103:F1103"/>
    <mergeCell ref="A1105:F1105"/>
    <mergeCell ref="A1161:F1161"/>
    <mergeCell ref="I1161:J1161"/>
    <mergeCell ref="L1161:M1161"/>
    <mergeCell ref="A15:F15"/>
    <mergeCell ref="A16:F16"/>
    <mergeCell ref="D174:F174"/>
    <mergeCell ref="D175:F175"/>
    <mergeCell ref="D176:F176"/>
    <mergeCell ref="D177:F177"/>
    <mergeCell ref="D187:F187"/>
    <mergeCell ref="D188:F188"/>
    <mergeCell ref="D190:F190"/>
    <mergeCell ref="A85:F85"/>
    <mergeCell ref="A86:F86"/>
    <mergeCell ref="A88:F88"/>
    <mergeCell ref="A148:F148"/>
    <mergeCell ref="A149:F149"/>
    <mergeCell ref="A151:F151"/>
    <mergeCell ref="D189:F189"/>
    <mergeCell ref="A13:M13"/>
    <mergeCell ref="J14:L14"/>
    <mergeCell ref="A7:M7"/>
    <mergeCell ref="A18:F18"/>
    <mergeCell ref="A277:M277"/>
    <mergeCell ref="A278:M278"/>
    <mergeCell ref="A209:M209"/>
    <mergeCell ref="D191:F191"/>
    <mergeCell ref="D192:F192"/>
    <mergeCell ref="D193:F193"/>
    <mergeCell ref="J84:L84"/>
    <mergeCell ref="J147:L147"/>
    <mergeCell ref="D153:F153"/>
    <mergeCell ref="D154:F154"/>
    <mergeCell ref="D128:F128"/>
    <mergeCell ref="D129:F129"/>
    <mergeCell ref="D130:F130"/>
    <mergeCell ref="D110:F110"/>
    <mergeCell ref="D117:F117"/>
    <mergeCell ref="D178:F178"/>
    <mergeCell ref="D179:F179"/>
    <mergeCell ref="D180:F180"/>
    <mergeCell ref="D181:F181"/>
    <mergeCell ref="D182:F182"/>
    <mergeCell ref="I817:J817"/>
    <mergeCell ref="A756:M756"/>
    <mergeCell ref="J757:L757"/>
    <mergeCell ref="A758:F758"/>
    <mergeCell ref="A759:F759"/>
    <mergeCell ref="A761:F761"/>
    <mergeCell ref="A597:M597"/>
    <mergeCell ref="A606:M606"/>
    <mergeCell ref="A613:M613"/>
    <mergeCell ref="A602:F602"/>
    <mergeCell ref="I602:J602"/>
    <mergeCell ref="L602:M602"/>
    <mergeCell ref="A603:F603"/>
    <mergeCell ref="I603:J603"/>
    <mergeCell ref="L603:M603"/>
    <mergeCell ref="A680:M680"/>
    <mergeCell ref="I739:J739"/>
    <mergeCell ref="L739:M739"/>
    <mergeCell ref="A815:F815"/>
    <mergeCell ref="I815:J815"/>
    <mergeCell ref="L815:M815"/>
    <mergeCell ref="A816:F816"/>
    <mergeCell ref="I816:J816"/>
    <mergeCell ref="L816:M816"/>
    <mergeCell ref="D194:F194"/>
    <mergeCell ref="D195:F195"/>
    <mergeCell ref="D196:F196"/>
    <mergeCell ref="D197:F197"/>
    <mergeCell ref="A269:M269"/>
    <mergeCell ref="D795:F795"/>
    <mergeCell ref="D796:F796"/>
    <mergeCell ref="D872:F872"/>
    <mergeCell ref="A284:M284"/>
    <mergeCell ref="A217:F217"/>
    <mergeCell ref="A219:F219"/>
    <mergeCell ref="J215:L215"/>
    <mergeCell ref="A216:F216"/>
    <mergeCell ref="J614:L614"/>
    <mergeCell ref="A615:F615"/>
    <mergeCell ref="I605:J605"/>
    <mergeCell ref="L605:M605"/>
    <mergeCell ref="A818:M818"/>
    <mergeCell ref="J686:L686"/>
    <mergeCell ref="A687:F687"/>
    <mergeCell ref="A688:F688"/>
    <mergeCell ref="A690:F690"/>
    <mergeCell ref="A749:M749"/>
    <mergeCell ref="G817:H817"/>
  </mergeCells>
  <phoneticPr fontId="38" type="noConversion"/>
  <printOptions horizontalCentered="1"/>
  <pageMargins left="0.5" right="0" top="0.5" bottom="0" header="0" footer="0"/>
  <pageSetup paperSize="14" scale="70" orientation="portrait" r:id="rId1"/>
  <headerFooter alignWithMargins="0">
    <oddFooter xml:space="preserve">&amp;C&amp;"Times New Roman,Bold"&amp;16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6"/>
  <sheetViews>
    <sheetView workbookViewId="0">
      <selection activeCell="I7" sqref="I7"/>
    </sheetView>
  </sheetViews>
  <sheetFormatPr defaultRowHeight="12.75"/>
  <cols>
    <col min="1" max="1" width="2.7109375" style="86" customWidth="1"/>
    <col min="2" max="2" width="2.140625" style="86" customWidth="1"/>
    <col min="3" max="5" width="1.7109375" style="86" customWidth="1"/>
    <col min="6" max="6" width="33.85546875" style="86" customWidth="1"/>
    <col min="7" max="7" width="17.7109375" style="86" customWidth="1"/>
    <col min="8" max="8" width="15" style="86" bestFit="1" customWidth="1"/>
    <col min="9" max="9" width="15.7109375" style="86" customWidth="1"/>
    <col min="10" max="10" width="15.5703125" style="86" customWidth="1"/>
    <col min="11" max="11" width="2.7109375" style="86" customWidth="1"/>
    <col min="12" max="12" width="9.140625" style="86"/>
    <col min="13" max="13" width="10.28515625" style="86" customWidth="1"/>
    <col min="14" max="16384" width="9.140625" style="86"/>
  </cols>
  <sheetData>
    <row r="1" spans="1:10" s="88" customFormat="1" ht="18" customHeight="1">
      <c r="A1" s="345" t="s">
        <v>545</v>
      </c>
      <c r="B1" s="346"/>
      <c r="C1" s="346"/>
      <c r="D1" s="346"/>
      <c r="E1" s="346"/>
      <c r="F1" s="299"/>
      <c r="G1" s="299"/>
      <c r="H1" s="299"/>
      <c r="I1" s="299"/>
      <c r="J1" s="299"/>
    </row>
    <row r="2" spans="1:10" s="88" customFormat="1" ht="18" customHeight="1">
      <c r="A2" s="347"/>
      <c r="B2" s="348"/>
      <c r="C2" s="348"/>
      <c r="D2" s="348"/>
      <c r="E2" s="348"/>
      <c r="F2" s="299"/>
      <c r="G2" s="299"/>
      <c r="H2" s="299"/>
      <c r="I2" s="299"/>
      <c r="J2" s="299"/>
    </row>
    <row r="3" spans="1:10" s="88" customFormat="1" ht="18" customHeight="1">
      <c r="A3" s="372" t="s">
        <v>481</v>
      </c>
      <c r="B3" s="372"/>
      <c r="C3" s="372"/>
      <c r="D3" s="372"/>
      <c r="E3" s="372"/>
      <c r="F3" s="372"/>
      <c r="G3" s="372"/>
      <c r="H3" s="372"/>
      <c r="I3" s="372"/>
      <c r="J3" s="372"/>
    </row>
    <row r="4" spans="1:10" s="300" customFormat="1" ht="20.100000000000001" customHeight="1">
      <c r="A4" s="349"/>
      <c r="B4" s="349"/>
      <c r="C4" s="349"/>
      <c r="D4" s="349"/>
      <c r="E4" s="349"/>
      <c r="F4" s="299"/>
      <c r="G4" s="299"/>
      <c r="H4" s="299"/>
      <c r="I4" s="299"/>
      <c r="J4" s="299"/>
    </row>
    <row r="5" spans="1:10" s="88" customFormat="1" ht="18" customHeight="1">
      <c r="A5" s="373" t="s">
        <v>546</v>
      </c>
      <c r="B5" s="373"/>
      <c r="C5" s="373"/>
      <c r="D5" s="373"/>
      <c r="E5" s="373"/>
      <c r="F5" s="350"/>
      <c r="G5" s="350" t="s">
        <v>484</v>
      </c>
      <c r="H5" s="351">
        <v>2025</v>
      </c>
      <c r="I5" s="352"/>
      <c r="J5" s="299"/>
    </row>
    <row r="6" spans="1:10" s="88" customFormat="1" ht="18" customHeight="1">
      <c r="A6" s="353" t="s">
        <v>547</v>
      </c>
      <c r="B6" s="354"/>
      <c r="C6" s="355"/>
      <c r="D6" s="355"/>
      <c r="E6" s="355"/>
      <c r="F6" s="299"/>
      <c r="G6" s="299"/>
      <c r="H6" s="299"/>
      <c r="I6" s="299"/>
      <c r="J6" s="299"/>
    </row>
    <row r="7" spans="1:10" s="88" customFormat="1" ht="18" customHeight="1">
      <c r="A7" s="353" t="s">
        <v>548</v>
      </c>
      <c r="B7" s="354"/>
      <c r="C7" s="355"/>
      <c r="D7" s="355"/>
      <c r="E7" s="355"/>
      <c r="F7" s="86"/>
      <c r="G7" s="86"/>
      <c r="H7" s="86"/>
      <c r="I7" s="86"/>
      <c r="J7" s="257"/>
    </row>
    <row r="8" spans="1:10" s="88" customFormat="1" ht="11.25" customHeight="1" thickBot="1">
      <c r="A8" s="369" t="s">
        <v>531</v>
      </c>
      <c r="B8" s="369"/>
      <c r="C8" s="369"/>
      <c r="D8" s="369"/>
      <c r="E8" s="369"/>
      <c r="F8" s="369"/>
      <c r="G8" s="369"/>
      <c r="H8" s="369"/>
      <c r="I8" s="369"/>
      <c r="J8" s="369"/>
    </row>
    <row r="9" spans="1:10" s="88" customFormat="1" ht="18" customHeight="1">
      <c r="A9" s="259"/>
      <c r="B9" s="260"/>
      <c r="C9" s="260"/>
      <c r="D9" s="260"/>
      <c r="E9" s="260"/>
      <c r="F9" s="260"/>
      <c r="G9" s="261"/>
      <c r="H9" s="261"/>
      <c r="I9" s="261"/>
      <c r="J9" s="262"/>
    </row>
    <row r="10" spans="1:10" s="88" customFormat="1" ht="18" customHeight="1">
      <c r="A10" s="370" t="s">
        <v>1</v>
      </c>
      <c r="B10" s="371"/>
      <c r="C10" s="371"/>
      <c r="D10" s="371"/>
      <c r="E10" s="371"/>
      <c r="F10" s="371"/>
      <c r="G10" s="263" t="s">
        <v>0</v>
      </c>
      <c r="H10" s="263" t="s">
        <v>3</v>
      </c>
      <c r="I10" s="263" t="s">
        <v>188</v>
      </c>
      <c r="J10" s="362" t="s">
        <v>4</v>
      </c>
    </row>
    <row r="11" spans="1:10" s="88" customFormat="1" ht="18" customHeight="1">
      <c r="A11" s="265"/>
      <c r="B11" s="87"/>
      <c r="C11" s="87"/>
      <c r="D11" s="87"/>
      <c r="E11" s="87"/>
      <c r="F11" s="87"/>
      <c r="G11" s="263" t="s">
        <v>2</v>
      </c>
      <c r="H11" s="266">
        <v>2023</v>
      </c>
      <c r="I11" s="263" t="s">
        <v>136</v>
      </c>
      <c r="J11" s="267">
        <v>2025</v>
      </c>
    </row>
    <row r="12" spans="1:10" s="88" customFormat="1" ht="18" customHeight="1">
      <c r="A12" s="265"/>
      <c r="B12" s="87"/>
      <c r="C12" s="87"/>
      <c r="D12" s="87"/>
      <c r="E12" s="87"/>
      <c r="F12" s="87"/>
      <c r="G12" s="263"/>
      <c r="H12" s="263" t="s">
        <v>136</v>
      </c>
      <c r="I12" s="263">
        <v>2024</v>
      </c>
      <c r="J12" s="264" t="s">
        <v>140</v>
      </c>
    </row>
    <row r="13" spans="1:10" s="88" customFormat="1" ht="10.5" customHeight="1" thickBot="1">
      <c r="A13" s="374"/>
      <c r="B13" s="375"/>
      <c r="C13" s="375"/>
      <c r="D13" s="375"/>
      <c r="E13" s="375"/>
      <c r="F13" s="375"/>
      <c r="G13" s="268"/>
      <c r="H13" s="268"/>
      <c r="I13" s="268"/>
      <c r="J13" s="269"/>
    </row>
    <row r="14" spans="1:10" ht="18" customHeight="1">
      <c r="A14" s="288" t="s">
        <v>562</v>
      </c>
      <c r="B14" s="289"/>
      <c r="C14" s="289"/>
      <c r="D14" s="289"/>
      <c r="E14" s="289"/>
      <c r="F14" s="289"/>
      <c r="G14" s="291"/>
      <c r="H14" s="278"/>
      <c r="I14" s="6"/>
      <c r="J14" s="6"/>
    </row>
    <row r="15" spans="1:10" ht="18" customHeight="1">
      <c r="A15" s="292"/>
      <c r="B15" s="293" t="s">
        <v>563</v>
      </c>
      <c r="C15" s="293"/>
      <c r="D15" s="293"/>
      <c r="E15" s="293"/>
      <c r="F15" s="293"/>
      <c r="G15" s="277"/>
      <c r="H15" s="76"/>
      <c r="I15" s="7"/>
      <c r="J15" s="7"/>
    </row>
    <row r="16" spans="1:10" ht="18" customHeight="1">
      <c r="A16" s="274"/>
      <c r="B16" s="275"/>
      <c r="C16" s="275" t="s">
        <v>102</v>
      </c>
      <c r="D16" s="275"/>
      <c r="E16" s="275"/>
      <c r="F16" s="301"/>
      <c r="G16" s="302"/>
      <c r="H16" s="303"/>
      <c r="I16" s="304"/>
      <c r="J16" s="304"/>
    </row>
    <row r="17" spans="1:10" ht="18" customHeight="1">
      <c r="A17" s="274"/>
      <c r="B17" s="301"/>
      <c r="C17" s="301"/>
      <c r="D17" s="301" t="s">
        <v>103</v>
      </c>
      <c r="E17" s="301"/>
      <c r="F17" s="301"/>
      <c r="G17" s="302" t="s">
        <v>196</v>
      </c>
      <c r="H17" s="303">
        <f>'FORM1a-ABR Office'!I21+'FORM1a-ABR Office'!I222+'FORM1a-ABR Office'!I292+'FORM1a-ABR Office'!I353+'FORM1a-ABR Office'!I420+'FORM1a-ABR Office'!I486+'FORM1a-ABR Office'!I554+'FORM1a-ABR Office'!I621+'FORM1a-ABR Office'!I693+'FORM1a-ABR Office'!I764+'FORM1a-ABR Office'!I831+'FORM1a-ABR Office'!I899+'FORM1a-ABR Office'!I972+'FORM1a-ABR Office'!I1039</f>
        <v>43604146.310000002</v>
      </c>
      <c r="I17" s="303">
        <v>44849584.600000001</v>
      </c>
      <c r="J17" s="303">
        <f>'FORM1a-ABR Office'!M21+'FORM1a-ABR Office'!M222+'FORM1a-ABR Office'!M292+'FORM1a-ABR Office'!M353+'FORM1a-ABR Office'!M420+'FORM1a-ABR Office'!M486+'FORM1a-ABR Office'!M554+'FORM1a-ABR Office'!M621+'FORM1a-ABR Office'!M693+'FORM1a-ABR Office'!M764+'FORM1a-ABR Office'!M831+'FORM1a-ABR Office'!M899+'FORM1a-ABR Office'!M972+'FORM1a-ABR Office'!M1039</f>
        <v>54894501</v>
      </c>
    </row>
    <row r="18" spans="1:10" ht="18" customHeight="1">
      <c r="A18" s="274"/>
      <c r="B18" s="301"/>
      <c r="C18" s="301"/>
      <c r="D18" s="301" t="s">
        <v>90</v>
      </c>
      <c r="E18" s="301"/>
      <c r="F18" s="301"/>
      <c r="G18" s="302" t="s">
        <v>235</v>
      </c>
      <c r="H18" s="303">
        <f>'FORM1a-ABR Office'!I22</f>
        <v>1411386.37</v>
      </c>
      <c r="I18" s="303">
        <v>1736349.09</v>
      </c>
      <c r="J18" s="303">
        <f>'FORM1a-ABR Office'!M22</f>
        <v>2368576</v>
      </c>
    </row>
    <row r="19" spans="1:10" ht="18" customHeight="1">
      <c r="A19" s="274"/>
      <c r="B19" s="301"/>
      <c r="C19" s="301" t="s">
        <v>104</v>
      </c>
      <c r="D19" s="301"/>
      <c r="E19" s="301"/>
      <c r="F19" s="301"/>
      <c r="G19" s="302"/>
      <c r="H19" s="303"/>
      <c r="I19" s="303"/>
      <c r="J19" s="303"/>
    </row>
    <row r="20" spans="1:10" ht="18" customHeight="1">
      <c r="A20" s="274"/>
      <c r="B20" s="301"/>
      <c r="C20" s="301"/>
      <c r="D20" s="301" t="s">
        <v>105</v>
      </c>
      <c r="E20" s="301"/>
      <c r="F20" s="301"/>
      <c r="G20" s="302" t="s">
        <v>197</v>
      </c>
      <c r="H20" s="303">
        <f>'FORM1a-ABR Office'!I24+'FORM1a-ABR Office'!I224+'FORM1a-ABR Office'!I294+'FORM1a-ABR Office'!I355+'FORM1a-ABR Office'!I422+'FORM1a-ABR Office'!I488+'FORM1a-ABR Office'!I556+'FORM1a-ABR Office'!I623+'FORM1a-ABR Office'!I695+'FORM1a-ABR Office'!I766+'FORM1a-ABR Office'!I833+'FORM1a-ABR Office'!I901+'FORM1a-ABR Office'!I974+'FORM1a-ABR Office'!I1041</f>
        <v>2799636.37</v>
      </c>
      <c r="I20" s="303">
        <v>2847545.45</v>
      </c>
      <c r="J20" s="303">
        <f>'FORM1a-ABR Office'!M24+'FORM1a-ABR Office'!M224+'FORM1a-ABR Office'!M294+'FORM1a-ABR Office'!M355+'FORM1a-ABR Office'!M422+'FORM1a-ABR Office'!M488+'FORM1a-ABR Office'!M556+'FORM1a-ABR Office'!M623+'FORM1a-ABR Office'!M695+'FORM1a-ABR Office'!M766+'FORM1a-ABR Office'!M833+'FORM1a-ABR Office'!M901+'FORM1a-ABR Office'!M974+'FORM1a-ABR Office'!M1041</f>
        <v>3264000</v>
      </c>
    </row>
    <row r="21" spans="1:10" ht="18" customHeight="1">
      <c r="A21" s="274"/>
      <c r="B21" s="301"/>
      <c r="C21" s="301"/>
      <c r="D21" s="301" t="s">
        <v>107</v>
      </c>
      <c r="E21" s="301"/>
      <c r="F21" s="301"/>
      <c r="G21" s="302" t="s">
        <v>198</v>
      </c>
      <c r="H21" s="303">
        <f>'FORM1a-ABR Office'!I25+'FORM1a-ABR Office'!I225+'FORM1a-ABR Office'!I295+'FORM1a-ABR Office'!I356+'FORM1a-ABR Office'!I423+'FORM1a-ABR Office'!I489+'FORM1a-ABR Office'!I557+'FORM1a-ABR Office'!I624+'FORM1a-ABR Office'!I696+'FORM1a-ABR Office'!I767+'FORM1a-ABR Office'!I834+'FORM1a-ABR Office'!I902+'FORM1a-ABR Office'!I1042</f>
        <v>1703284.09</v>
      </c>
      <c r="I21" s="303">
        <v>1930456.25</v>
      </c>
      <c r="J21" s="303">
        <f>'FORM1a-ABR Office'!M25+'FORM1a-ABR Office'!M225+'FORM1a-ABR Office'!M295+'FORM1a-ABR Office'!M356+'FORM1a-ABR Office'!M423+'FORM1a-ABR Office'!M489+'FORM1a-ABR Office'!M557+'FORM1a-ABR Office'!M624+'FORM1a-ABR Office'!M696+'FORM1a-ABR Office'!M767+'FORM1a-ABR Office'!M834+'FORM1a-ABR Office'!M902+'FORM1a-ABR Office'!M1042</f>
        <v>2106300</v>
      </c>
    </row>
    <row r="22" spans="1:10" ht="18" customHeight="1">
      <c r="A22" s="274"/>
      <c r="B22" s="301"/>
      <c r="C22" s="301"/>
      <c r="D22" s="301" t="s">
        <v>106</v>
      </c>
      <c r="E22" s="301"/>
      <c r="F22" s="301"/>
      <c r="G22" s="302" t="s">
        <v>199</v>
      </c>
      <c r="H22" s="303">
        <f>'FORM1a-ABR Office'!I26+'FORM1a-ABR Office'!I226+'FORM1a-ABR Office'!I296+'FORM1a-ABR Office'!I357+'FORM1a-ABR Office'!I424+'FORM1a-ABR Office'!I490+'FORM1a-ABR Office'!I558+'FORM1a-ABR Office'!I625+'FORM1a-ABR Office'!I697+'FORM1a-ABR Office'!I768+'FORM1a-ABR Office'!I835+'FORM1a-ABR Office'!I903+'FORM1a-ABR Office'!I1043</f>
        <v>1524784.0899999999</v>
      </c>
      <c r="I22" s="303">
        <v>1731556.25</v>
      </c>
      <c r="J22" s="303">
        <f>'FORM1a-ABR Office'!M26+'FORM1a-ABR Office'!M226+'FORM1a-ABR Office'!M296+'FORM1a-ABR Office'!M357+'FORM1a-ABR Office'!M424+'FORM1a-ABR Office'!M490+'FORM1a-ABR Office'!M558+'FORM1a-ABR Office'!M625+'FORM1a-ABR Office'!M697+'FORM1a-ABR Office'!M768+'FORM1a-ABR Office'!M835+'FORM1a-ABR Office'!M903+'FORM1a-ABR Office'!M1043</f>
        <v>2106300</v>
      </c>
    </row>
    <row r="23" spans="1:10" ht="18" customHeight="1">
      <c r="A23" s="274"/>
      <c r="B23" s="301"/>
      <c r="C23" s="301"/>
      <c r="D23" s="301" t="s">
        <v>108</v>
      </c>
      <c r="E23" s="301"/>
      <c r="F23" s="301"/>
      <c r="G23" s="302" t="s">
        <v>200</v>
      </c>
      <c r="H23" s="303">
        <f>'FORM1a-ABR Office'!I27+'FORM1a-ABR Office'!I227+'FORM1a-ABR Office'!I297+'FORM1a-ABR Office'!I358+'FORM1a-ABR Office'!I425+'FORM1a-ABR Office'!I491+'FORM1a-ABR Office'!I559+'FORM1a-ABR Office'!I626+'FORM1a-ABR Office'!I698+'FORM1a-ABR Office'!I769+'FORM1a-ABR Office'!I836+'FORM1a-ABR Office'!I904+'FORM1a-ABR Office'!I975+'FORM1a-ABR Office'!I1044</f>
        <v>702000</v>
      </c>
      <c r="I23" s="303">
        <v>831000</v>
      </c>
      <c r="J23" s="303">
        <f>'FORM1a-ABR Office'!M27+'FORM1a-ABR Office'!M227+'FORM1a-ABR Office'!M297+'FORM1a-ABR Office'!M358+'FORM1a-ABR Office'!M425+'FORM1a-ABR Office'!M491+'FORM1a-ABR Office'!M559+'FORM1a-ABR Office'!M626+'FORM1a-ABR Office'!M698+'FORM1a-ABR Office'!M769+'FORM1a-ABR Office'!M836+'FORM1a-ABR Office'!M904+'FORM1a-ABR Office'!M975+'FORM1a-ABR Office'!M1044</f>
        <v>952000</v>
      </c>
    </row>
    <row r="24" spans="1:10" ht="18" customHeight="1">
      <c r="A24" s="274"/>
      <c r="B24" s="301"/>
      <c r="C24" s="301"/>
      <c r="D24" s="301" t="s">
        <v>109</v>
      </c>
      <c r="E24" s="301"/>
      <c r="F24" s="301"/>
      <c r="G24" s="302" t="s">
        <v>217</v>
      </c>
      <c r="H24" s="303">
        <f>'FORM1a-ABR Office'!I770+'FORM1a-ABR Office'!I905+'FORM1a-ABR Office'!I976</f>
        <v>328825</v>
      </c>
      <c r="I24" s="303">
        <v>302540.75</v>
      </c>
      <c r="J24" s="303">
        <f>'FORM1a-ABR Office'!M770+'FORM1a-ABR Office'!M905+'FORM1a-ABR Office'!M976</f>
        <v>512785.29</v>
      </c>
    </row>
    <row r="25" spans="1:10" ht="18" customHeight="1">
      <c r="A25" s="274"/>
      <c r="B25" s="301"/>
      <c r="C25" s="301"/>
      <c r="D25" s="301" t="s">
        <v>532</v>
      </c>
      <c r="E25" s="301"/>
      <c r="F25" s="301"/>
      <c r="G25" s="302" t="s">
        <v>201</v>
      </c>
      <c r="H25" s="303">
        <f>'FORM1a-ABR Office'!I28+'FORM1a-ABR Office'!I228+'FORM1a-ABR Office'!I298+'FORM1a-ABR Office'!I359+'FORM1a-ABR Office'!I426+'FORM1a-ABR Office'!I492+'FORM1a-ABR Office'!I560+'FORM1a-ABR Office'!I627+'FORM1a-ABR Office'!I699+'FORM1a-ABR Office'!I771+'FORM1a-ABR Office'!I837+'FORM1a-ABR Office'!I906+'FORM1a-ABR Office'!I977+'FORM1a-ABR Office'!I1045</f>
        <v>550000</v>
      </c>
      <c r="I25" s="303">
        <v>600000</v>
      </c>
      <c r="J25" s="303">
        <f>'FORM1a-ABR Office'!M28+'FORM1a-ABR Office'!M228+'FORM1a-ABR Office'!M298+'FORM1a-ABR Office'!M359+'FORM1a-ABR Office'!M426+'FORM1a-ABR Office'!M492+'FORM1a-ABR Office'!M560+'FORM1a-ABR Office'!M627+'FORM1a-ABR Office'!M699+'FORM1a-ABR Office'!M771+'FORM1a-ABR Office'!M837+'FORM1a-ABR Office'!M906+'FORM1a-ABR Office'!M977+'FORM1a-ABR Office'!M1045</f>
        <v>680000</v>
      </c>
    </row>
    <row r="26" spans="1:10" ht="18" customHeight="1">
      <c r="A26" s="274"/>
      <c r="B26" s="301"/>
      <c r="C26" s="301"/>
      <c r="D26" s="301" t="s">
        <v>110</v>
      </c>
      <c r="E26" s="301"/>
      <c r="F26" s="305"/>
      <c r="G26" s="302" t="s">
        <v>202</v>
      </c>
      <c r="H26" s="303">
        <f>'FORM1a-ABR Office'!I29+'FORM1a-ABR Office'!I229+'FORM1a-ABR Office'!I299+'FORM1a-ABR Office'!I360+'FORM1a-ABR Office'!I427+'FORM1a-ABR Office'!I493+'FORM1a-ABR Office'!I561+'FORM1a-ABR Office'!I628+'FORM1a-ABR Office'!I700+'FORM1a-ABR Office'!I772+'FORM1a-ABR Office'!I838+'FORM1a-ABR Office'!I907+'FORM1a-ABR Office'!I978+'FORM1a-ABR Office'!I1046</f>
        <v>65000</v>
      </c>
      <c r="I26" s="303">
        <v>115000</v>
      </c>
      <c r="J26" s="303">
        <f>'FORM1a-ABR Office'!M29+'FORM1a-ABR Office'!M229+'FORM1a-ABR Office'!M299+'FORM1a-ABR Office'!M360+'FORM1a-ABR Office'!M427+'FORM1a-ABR Office'!M493+'FORM1a-ABR Office'!M561+'FORM1a-ABR Office'!M628+'FORM1a-ABR Office'!M700+'FORM1a-ABR Office'!M772+'FORM1a-ABR Office'!M838+'FORM1a-ABR Office'!M907+'FORM1a-ABR Office'!M978+'FORM1a-ABR Office'!M1046</f>
        <v>70000</v>
      </c>
    </row>
    <row r="27" spans="1:10" s="307" customFormat="1" ht="18" customHeight="1">
      <c r="A27" s="306"/>
      <c r="B27" s="301"/>
      <c r="C27" s="301"/>
      <c r="D27" s="301" t="s">
        <v>533</v>
      </c>
      <c r="E27" s="301"/>
      <c r="F27" s="301"/>
      <c r="G27" s="302" t="s">
        <v>202</v>
      </c>
      <c r="H27" s="303">
        <f>'FORM1a-ABR Office'!I34+'FORM1a-ABR Office'!I233+'FORM1a-ABR Office'!I303+'FORM1a-ABR Office'!I364+'FORM1a-ABR Office'!I432+'FORM1a-ABR Office'!I498+'FORM1a-ABR Office'!I566+'FORM1a-ABR Office'!I632+'FORM1a-ABR Office'!I704+'FORM1a-ABR Office'!I777+'FORM1a-ABR Office'!I842+'FORM1a-ABR Office'!I912+'FORM1a-ABR Office'!I983+'FORM1a-ABR Office'!I1048</f>
        <v>3842902</v>
      </c>
      <c r="I27" s="303">
        <v>3679623</v>
      </c>
      <c r="J27" s="303">
        <f>'FORM1a-ABR Office'!M34+'FORM1a-ABR Office'!M233+'FORM1a-ABR Office'!M303+'FORM1a-ABR Office'!M364+'FORM1a-ABR Office'!M432+'FORM1a-ABR Office'!M498+'FORM1a-ABR Office'!M566+'FORM1a-ABR Office'!M632+'FORM1a-ABR Office'!M704+'FORM1a-ABR Office'!M777+'FORM1a-ABR Office'!M842+'FORM1a-ABR Office'!M912+'FORM1a-ABR Office'!M983+'FORM1a-ABR Office'!M1048</f>
        <v>4697034</v>
      </c>
    </row>
    <row r="28" spans="1:10" ht="18" customHeight="1">
      <c r="A28" s="274"/>
      <c r="B28" s="275"/>
      <c r="C28" s="275"/>
      <c r="D28" s="275" t="s">
        <v>534</v>
      </c>
      <c r="E28" s="275"/>
      <c r="F28" s="301"/>
      <c r="G28" s="302" t="s">
        <v>202</v>
      </c>
      <c r="H28" s="303">
        <f>'FORM1a-ABR Office'!I31+'FORM1a-ABR Office'!I304</f>
        <v>57954.54</v>
      </c>
      <c r="I28" s="303">
        <v>2341550.65</v>
      </c>
      <c r="J28" s="303">
        <f>'FORM1a-ABR Office'!M31+'FORM1a-ABR Office'!M304</f>
        <v>173400</v>
      </c>
    </row>
    <row r="29" spans="1:10" ht="18" customHeight="1">
      <c r="A29" s="274"/>
      <c r="B29" s="275"/>
      <c r="C29" s="275"/>
      <c r="D29" s="275" t="s">
        <v>535</v>
      </c>
      <c r="E29" s="275"/>
      <c r="F29" s="301"/>
      <c r="G29" s="254" t="s">
        <v>202</v>
      </c>
      <c r="H29" s="303">
        <f>'FORM1a-ABR Office'!I30+'FORM1a-ABR Office'!I231+'FORM1a-ABR Office'!I301+'FORM1a-ABR Office'!I362+'FORM1a-ABR Office'!I429+'FORM1a-ABR Office'!I495+'FORM1a-ABR Office'!I563+'FORM1a-ABR Office'!I630+'FORM1a-ABR Office'!I702+'FORM1a-ABR Office'!I774+'FORM1a-ABR Office'!I840+'FORM1a-ABR Office'!I909+'FORM1a-ABR Office'!I980+'FORM1a-ABR Office'!I1050</f>
        <v>0</v>
      </c>
      <c r="I29" s="303"/>
      <c r="J29" s="303">
        <f>'FORM1a-ABR Office'!M30+'FORM1a-ABR Office'!M231+'FORM1a-ABR Office'!M301+'FORM1a-ABR Office'!M362+'FORM1a-ABR Office'!M429+'FORM1a-ABR Office'!M495+'FORM1a-ABR Office'!M563+'FORM1a-ABR Office'!M630+'FORM1a-ABR Office'!M702+'FORM1a-ABR Office'!M774+'FORM1a-ABR Office'!M840+'FORM1a-ABR Office'!M909+'FORM1a-ABR Office'!M980+'FORM1a-ABR Office'!M1050</f>
        <v>952000</v>
      </c>
    </row>
    <row r="30" spans="1:10" s="307" customFormat="1" ht="18" customHeight="1">
      <c r="A30" s="306"/>
      <c r="B30" s="301"/>
      <c r="C30" s="301"/>
      <c r="D30" s="301" t="s">
        <v>111</v>
      </c>
      <c r="E30" s="301"/>
      <c r="F30" s="301"/>
      <c r="G30" s="302" t="s">
        <v>218</v>
      </c>
      <c r="H30" s="303">
        <f>'FORM1a-ABR Office'!I775+'FORM1a-ABR Office'!I910+'FORM1a-ABR Office'!I981</f>
        <v>843973.5</v>
      </c>
      <c r="I30" s="303">
        <v>798944.85</v>
      </c>
      <c r="J30" s="303">
        <f>'FORM1a-ABR Office'!M775+'FORM1a-ABR Office'!M910+'FORM1a-ABR Office'!M981</f>
        <v>887008.8</v>
      </c>
    </row>
    <row r="31" spans="1:10" ht="18" customHeight="1">
      <c r="A31" s="274"/>
      <c r="B31" s="275"/>
      <c r="C31" s="301"/>
      <c r="D31" s="301" t="s">
        <v>52</v>
      </c>
      <c r="E31" s="301"/>
      <c r="F31" s="301"/>
      <c r="G31" s="302" t="s">
        <v>219</v>
      </c>
      <c r="H31" s="303">
        <f>'FORM1a-ABR Office'!I32+'FORM1a-ABR Office'!I496+'FORM1a-ABR Office'!I564+'FORM1a-ABR Office'!I430</f>
        <v>236462.37</v>
      </c>
      <c r="I31" s="303">
        <v>147545.53</v>
      </c>
      <c r="J31" s="303">
        <f>'FORM1a-ABR Office'!M32+'FORM1a-ABR Office'!M496+'FORM1a-ABR Office'!M564+'FORM1a-ABR Office'!M430</f>
        <v>355000</v>
      </c>
    </row>
    <row r="32" spans="1:10" ht="18" customHeight="1">
      <c r="A32" s="274"/>
      <c r="B32" s="275"/>
      <c r="C32" s="301"/>
      <c r="D32" s="301" t="s">
        <v>112</v>
      </c>
      <c r="E32" s="301"/>
      <c r="F32" s="301"/>
      <c r="G32" s="302" t="s">
        <v>203</v>
      </c>
      <c r="H32" s="303">
        <f>'FORM1a-ABR Office'!I33+'FORM1a-ABR Office'!I232+'FORM1a-ABR Office'!I302+'FORM1a-ABR Office'!I363+'FORM1a-ABR Office'!I431+'FORM1a-ABR Office'!I497+'FORM1a-ABR Office'!I565+'FORM1a-ABR Office'!I631+'FORM1a-ABR Office'!I703+'FORM1a-ABR Office'!I776+'FORM1a-ABR Office'!I841+'FORM1a-ABR Office'!I911+'FORM1a-ABR Office'!I982+'FORM1a-ABR Office'!I1047</f>
        <v>585000</v>
      </c>
      <c r="I32" s="303">
        <v>593000</v>
      </c>
      <c r="J32" s="303">
        <f>'FORM1a-ABR Office'!M33+'FORM1a-ABR Office'!M232+'FORM1a-ABR Office'!M302+'FORM1a-ABR Office'!M363+'FORM1a-ABR Office'!M431+'FORM1a-ABR Office'!M497+'FORM1a-ABR Office'!M565+'FORM1a-ABR Office'!M631+'FORM1a-ABR Office'!M703+'FORM1a-ABR Office'!M776+'FORM1a-ABR Office'!M841+'FORM1a-ABR Office'!M911+'FORM1a-ABR Office'!M982+'FORM1a-ABR Office'!M1047</f>
        <v>680000</v>
      </c>
    </row>
    <row r="33" spans="1:10" ht="18" customHeight="1">
      <c r="A33" s="274"/>
      <c r="B33" s="275"/>
      <c r="C33" s="301"/>
      <c r="D33" s="301" t="s">
        <v>113</v>
      </c>
      <c r="E33" s="301"/>
      <c r="F33" s="301"/>
      <c r="G33" s="302" t="s">
        <v>204</v>
      </c>
      <c r="H33" s="303">
        <f>'FORM1a-ABR Office'!I36+'FORM1a-ABR Office'!I234+'FORM1a-ABR Office'!I305+'FORM1a-ABR Office'!I365+'FORM1a-ABR Office'!I433+'FORM1a-ABR Office'!I499+'FORM1a-ABR Office'!I567+'FORM1a-ABR Office'!I633+'FORM1a-ABR Office'!I705+'FORM1a-ABR Office'!I778+'FORM1a-ABR Office'!I843+'FORM1a-ABR Office'!I913+'FORM1a-ABR Office'!I984+'FORM1a-ABR Office'!I1051</f>
        <v>3811083.7</v>
      </c>
      <c r="I33" s="303">
        <v>4019735.45</v>
      </c>
      <c r="J33" s="303">
        <f>'FORM1a-ABR Office'!M36+'FORM1a-ABR Office'!M234+'FORM1a-ABR Office'!M305+'FORM1a-ABR Office'!M365+'FORM1a-ABR Office'!M433+'FORM1a-ABR Office'!M499+'FORM1a-ABR Office'!M567+'FORM1a-ABR Office'!M633+'FORM1a-ABR Office'!M705+'FORM1a-ABR Office'!M778+'FORM1a-ABR Office'!M843+'FORM1a-ABR Office'!M913+'FORM1a-ABR Office'!M984+'FORM1a-ABR Office'!M1051</f>
        <v>4920912</v>
      </c>
    </row>
    <row r="34" spans="1:10" ht="18" customHeight="1">
      <c r="A34" s="274"/>
      <c r="B34" s="275"/>
      <c r="C34" s="301"/>
      <c r="D34" s="301" t="s">
        <v>190</v>
      </c>
      <c r="E34" s="301"/>
      <c r="F34" s="301"/>
      <c r="G34" s="302" t="s">
        <v>205</v>
      </c>
      <c r="H34" s="303">
        <f>'FORM1a-ABR Office'!I37+'FORM1a-ABR Office'!I235+'FORM1a-ABR Office'!I306+'FORM1a-ABR Office'!I366+'FORM1a-ABR Office'!I434+'FORM1a-ABR Office'!I500+'FORM1a-ABR Office'!I568+'FORM1a-ABR Office'!I634+'FORM1a-ABR Office'!I706+'FORM1a-ABR Office'!I779+'FORM1a-ABR Office'!I844+'FORM1a-ABR Office'!I914+'FORM1a-ABR Office'!I985+'FORM1a-ABR Office'!I1052</f>
        <v>5301614.96</v>
      </c>
      <c r="I34" s="303">
        <v>5577330.0199999996</v>
      </c>
      <c r="J34" s="303">
        <f>'FORM1a-ABR Office'!M37+'FORM1a-ABR Office'!M235+'FORM1a-ABR Office'!M306+'FORM1a-ABR Office'!M366+'FORM1a-ABR Office'!M434+'FORM1a-ABR Office'!M500+'FORM1a-ABR Office'!M568+'FORM1a-ABR Office'!M634+'FORM1a-ABR Office'!M706+'FORM1a-ABR Office'!M779+'FORM1a-ABR Office'!M844+'FORM1a-ABR Office'!M914+'FORM1a-ABR Office'!M985+'FORM1a-ABR Office'!M1052</f>
        <v>6878300</v>
      </c>
    </row>
    <row r="35" spans="1:10" ht="18" customHeight="1">
      <c r="A35" s="274"/>
      <c r="B35" s="275"/>
      <c r="C35" s="301"/>
      <c r="D35" s="301" t="s">
        <v>114</v>
      </c>
      <c r="E35" s="301"/>
      <c r="F35" s="301"/>
      <c r="G35" s="302" t="s">
        <v>206</v>
      </c>
      <c r="H35" s="303">
        <f>'FORM1a-ABR Office'!I38+'FORM1a-ABR Office'!I236+'FORM1a-ABR Office'!I307+'FORM1a-ABR Office'!I367+'FORM1a-ABR Office'!I435+'FORM1a-ABR Office'!I501+'FORM1a-ABR Office'!I569+'FORM1a-ABR Office'!I635+'FORM1a-ABR Office'!I707+'FORM1a-ABR Office'!I780+'FORM1a-ABR Office'!I845+'FORM1a-ABR Office'!I915+'FORM1a-ABR Office'!I986+'FORM1a-ABR Office'!I1053</f>
        <v>140600</v>
      </c>
      <c r="I35" s="303">
        <v>274600</v>
      </c>
      <c r="J35" s="303">
        <f>'FORM1a-ABR Office'!M38+'FORM1a-ABR Office'!M236+'FORM1a-ABR Office'!M307+'FORM1a-ABR Office'!M367+'FORM1a-ABR Office'!M435+'FORM1a-ABR Office'!M501+'FORM1a-ABR Office'!M569+'FORM1a-ABR Office'!M635+'FORM1a-ABR Office'!M707+'FORM1a-ABR Office'!M780+'FORM1a-ABR Office'!M845+'FORM1a-ABR Office'!M915+'FORM1a-ABR Office'!M986+'FORM1a-ABR Office'!M1053</f>
        <v>326400</v>
      </c>
    </row>
    <row r="36" spans="1:10" ht="18" customHeight="1">
      <c r="A36" s="274"/>
      <c r="B36" s="275"/>
      <c r="C36" s="301"/>
      <c r="D36" s="301" t="s">
        <v>115</v>
      </c>
      <c r="E36" s="301"/>
      <c r="F36" s="301"/>
      <c r="G36" s="302" t="s">
        <v>207</v>
      </c>
      <c r="H36" s="303">
        <f>'FORM1a-ABR Office'!I39+'FORM1a-ABR Office'!I237+'FORM1a-ABR Office'!I308+'FORM1a-ABR Office'!I368+'FORM1a-ABR Office'!I436+'FORM1a-ABR Office'!I502+'FORM1a-ABR Office'!I570+'FORM1a-ABR Office'!I636+'FORM1a-ABR Office'!I708+'FORM1a-ABR Office'!I781+'FORM1a-ABR Office'!I846+'FORM1a-ABR Office'!I916+'FORM1a-ABR Office'!I987+'FORM1a-ABR Office'!I1054</f>
        <v>839228.84</v>
      </c>
      <c r="I36" s="303">
        <v>1164073.3600000001</v>
      </c>
      <c r="J36" s="303">
        <f>'FORM1a-ABR Office'!M39+'FORM1a-ABR Office'!M237+'FORM1a-ABR Office'!M308+'FORM1a-ABR Office'!M368+'FORM1a-ABR Office'!M436+'FORM1a-ABR Office'!M502+'FORM1a-ABR Office'!M570+'FORM1a-ABR Office'!M636+'FORM1a-ABR Office'!M708+'FORM1a-ABR Office'!M781+'FORM1a-ABR Office'!M846+'FORM1a-ABR Office'!M916+'FORM1a-ABR Office'!M987+'FORM1a-ABR Office'!M1054</f>
        <v>1440300</v>
      </c>
    </row>
    <row r="37" spans="1:10" ht="18" customHeight="1">
      <c r="A37" s="274"/>
      <c r="B37" s="275"/>
      <c r="C37" s="301"/>
      <c r="D37" s="301" t="s">
        <v>189</v>
      </c>
      <c r="E37" s="301"/>
      <c r="F37" s="301"/>
      <c r="G37" s="302" t="s">
        <v>208</v>
      </c>
      <c r="H37" s="303">
        <f>'FORM1a-ABR Office'!I40+'FORM1a-ABR Office'!I238+'FORM1a-ABR Office'!I309+'FORM1a-ABR Office'!I369+'FORM1a-ABR Office'!I437+'FORM1a-ABR Office'!I503+'FORM1a-ABR Office'!I571+'FORM1a-ABR Office'!I637+'FORM1a-ABR Office'!I709+'FORM1a-ABR Office'!I782+'FORM1a-ABR Office'!I847+'FORM1a-ABR Office'!I917+'FORM1a-ABR Office'!I988+'FORM1a-ABR Office'!I1055</f>
        <v>140600</v>
      </c>
      <c r="I37" s="303">
        <v>143300</v>
      </c>
      <c r="J37" s="303">
        <f>'FORM1a-ABR Office'!M40+'FORM1a-ABR Office'!M238+'FORM1a-ABR Office'!M309+'FORM1a-ABR Office'!M369+'FORM1a-ABR Office'!M437+'FORM1a-ABR Office'!M503+'FORM1a-ABR Office'!M571+'FORM1a-ABR Office'!M637+'FORM1a-ABR Office'!M709+'FORM1a-ABR Office'!M782+'FORM1a-ABR Office'!M847+'FORM1a-ABR Office'!M917+'FORM1a-ABR Office'!M988+'FORM1a-ABR Office'!M1055</f>
        <v>163200</v>
      </c>
    </row>
    <row r="38" spans="1:10" ht="18" customHeight="1">
      <c r="A38" s="274"/>
      <c r="B38" s="275"/>
      <c r="C38" s="301"/>
      <c r="D38" s="301" t="s">
        <v>54</v>
      </c>
      <c r="E38" s="301"/>
      <c r="F38" s="301"/>
      <c r="G38" s="302" t="s">
        <v>209</v>
      </c>
      <c r="H38" s="303">
        <f>'FORM1a-ABR Office'!I41+'FORM1a-ABR Office'!I239+'FORM1a-ABR Office'!I311+'FORM1a-ABR Office'!I370+'FORM1a-ABR Office'!I504+'FORM1a-ABR Office'!I572+'FORM1a-ABR Office'!I710+'FORM1a-ABR Office'!I784+'FORM1a-ABR Office'!I848+'FORM1a-ABR Office'!I918+'FORM1a-ABR Office'!I989</f>
        <v>1525518.79</v>
      </c>
      <c r="I38" s="303">
        <v>0</v>
      </c>
      <c r="J38" s="303">
        <f>'FORM1a-ABR Office'!M41+'FORM1a-ABR Office'!M239+'FORM1a-ABR Office'!M311+'FORM1a-ABR Office'!M370+'FORM1a-ABR Office'!M504+'FORM1a-ABR Office'!M572+'FORM1a-ABR Office'!M710+'FORM1a-ABR Office'!M784+'FORM1a-ABR Office'!M848+'FORM1a-ABR Office'!M918+'FORM1a-ABR Office'!M989</f>
        <v>5750000</v>
      </c>
    </row>
    <row r="39" spans="1:10" ht="18" customHeight="1">
      <c r="A39" s="274"/>
      <c r="B39" s="275"/>
      <c r="C39" s="301"/>
      <c r="D39" s="301" t="s">
        <v>116</v>
      </c>
      <c r="E39" s="301"/>
      <c r="F39" s="301"/>
      <c r="G39" s="302" t="s">
        <v>209</v>
      </c>
      <c r="H39" s="303">
        <f>'FORM1a-ABR Office'!I922</f>
        <v>22750</v>
      </c>
      <c r="I39" s="303">
        <v>25000</v>
      </c>
      <c r="J39" s="303">
        <f>'FORM1a-ABR Office'!M922</f>
        <v>35000</v>
      </c>
    </row>
    <row r="40" spans="1:10" s="307" customFormat="1" ht="18" customHeight="1">
      <c r="A40" s="308"/>
      <c r="B40" s="309"/>
      <c r="C40" s="309"/>
      <c r="D40" s="309" t="s">
        <v>117</v>
      </c>
      <c r="E40" s="309"/>
      <c r="F40" s="309"/>
      <c r="G40" s="310" t="s">
        <v>220</v>
      </c>
      <c r="H40" s="311">
        <f>'FORM1a-ABR Office'!I42+'FORM1a-ABR Office'!I240+'FORM1a-ABR Office'!I310+'FORM1a-ABR Office'!I371+'FORM1a-ABR Office'!I438+'FORM1a-ABR Office'!I505+'FORM1a-ABR Office'!I573+'FORM1a-ABR Office'!I639+'FORM1a-ABR Office'!I711+'FORM1a-ABR Office'!I783+'FORM1a-ABR Office'!I849+'FORM1a-ABR Office'!I919+'FORM1a-ABR Office'!I990+'FORM1a-ABR Office'!I1056</f>
        <v>0</v>
      </c>
      <c r="I40" s="311">
        <v>4416365.9400000004</v>
      </c>
      <c r="J40" s="311">
        <f>'FORM1a-ABR Office'!M42+'FORM1a-ABR Office'!M240+'FORM1a-ABR Office'!M310+'FORM1a-ABR Office'!M371+'FORM1a-ABR Office'!M438+'FORM1a-ABR Office'!M505+'FORM1a-ABR Office'!M573+'FORM1a-ABR Office'!M639+'FORM1a-ABR Office'!M711+'FORM1a-ABR Office'!M783+'FORM1a-ABR Office'!M849+'FORM1a-ABR Office'!M919+'FORM1a-ABR Office'!M990+'FORM1a-ABR Office'!M1056</f>
        <v>0</v>
      </c>
    </row>
    <row r="41" spans="1:10" ht="18" customHeight="1">
      <c r="A41" s="279"/>
      <c r="B41" s="280"/>
      <c r="C41" s="309"/>
      <c r="D41" s="309" t="s">
        <v>343</v>
      </c>
      <c r="E41" s="309"/>
      <c r="F41" s="309"/>
      <c r="G41" s="310" t="s">
        <v>220</v>
      </c>
      <c r="H41" s="311">
        <f>'FORM1a-ABR Office'!I43+'FORM1a-ABR Office'!I241+'FORM1a-ABR Office'!I312+'FORM1a-ABR Office'!I372+'FORM1a-ABR Office'!I439+'FORM1a-ABR Office'!I506+'FORM1a-ABR Office'!I574+'FORM1a-ABR Office'!I640+'FORM1a-ABR Office'!I712+'FORM1a-ABR Office'!I785+'FORM1a-ABR Office'!I850+'FORM1a-ABR Office'!I920+'FORM1a-ABR Office'!I991+'FORM1a-ABR Office'!I1057</f>
        <v>2656000</v>
      </c>
      <c r="I41" s="311">
        <v>2386000</v>
      </c>
      <c r="J41" s="311">
        <f>'FORM1a-ABR Office'!M43+'FORM1a-ABR Office'!M241+'FORM1a-ABR Office'!M312+'FORM1a-ABR Office'!M372+'FORM1a-ABR Office'!M439+'FORM1a-ABR Office'!M506+'FORM1a-ABR Office'!M574+'FORM1a-ABR Office'!M640+'FORM1a-ABR Office'!M712+'FORM1a-ABR Office'!M785+'FORM1a-ABR Office'!M850+'FORM1a-ABR Office'!M920+'FORM1a-ABR Office'!M991+'FORM1a-ABR Office'!M1057</f>
        <v>0</v>
      </c>
    </row>
    <row r="42" spans="1:10" ht="18" customHeight="1" thickBot="1">
      <c r="A42" s="279"/>
      <c r="B42" s="280"/>
      <c r="C42" s="309"/>
      <c r="D42" s="309" t="s">
        <v>536</v>
      </c>
      <c r="E42" s="309"/>
      <c r="F42" s="309"/>
      <c r="G42" s="310" t="s">
        <v>220</v>
      </c>
      <c r="H42" s="311">
        <f>'FORM1a-ABR Office'!I44+'FORM1a-ABR Office'!I242+'FORM1a-ABR Office'!I313+'FORM1a-ABR Office'!I373+'FORM1a-ABR Office'!I440+'FORM1a-ABR Office'!I507+'FORM1a-ABR Office'!I575+'FORM1a-ABR Office'!I641+'FORM1a-ABR Office'!I713+'FORM1a-ABR Office'!I786+'FORM1a-ABR Office'!I851+'FORM1a-ABR Office'!I921+'FORM1a-ABR Office'!I992+'FORM1a-ABR Office'!I1058</f>
        <v>3637500</v>
      </c>
      <c r="I42" s="311">
        <v>3722500</v>
      </c>
      <c r="J42" s="311">
        <f>'FORM1a-ABR Office'!M44+'FORM1a-ABR Office'!M242+'FORM1a-ABR Office'!M313+'FORM1a-ABR Office'!M373+'FORM1a-ABR Office'!M440+'FORM1a-ABR Office'!M507+'FORM1a-ABR Office'!M575+'FORM1a-ABR Office'!M641+'FORM1a-ABR Office'!M713+'FORM1a-ABR Office'!M786+'FORM1a-ABR Office'!M851+'FORM1a-ABR Office'!M921+'FORM1a-ABR Office'!M992+'FORM1a-ABR Office'!M1058</f>
        <v>0</v>
      </c>
    </row>
    <row r="43" spans="1:10" s="88" customFormat="1" ht="18" customHeight="1" thickBot="1">
      <c r="A43" s="284"/>
      <c r="B43" s="285"/>
      <c r="C43" s="312"/>
      <c r="D43" s="312" t="s">
        <v>53</v>
      </c>
      <c r="E43" s="312"/>
      <c r="F43" s="312"/>
      <c r="G43" s="313"/>
      <c r="H43" s="314">
        <f>SUM(H17:H42)</f>
        <v>76330250.930000007</v>
      </c>
      <c r="I43" s="314">
        <f t="shared" ref="I43:J43" si="0">SUM(I17:I42)</f>
        <v>84233601.190000013</v>
      </c>
      <c r="J43" s="314">
        <f t="shared" si="0"/>
        <v>94213017.089999989</v>
      </c>
    </row>
    <row r="44" spans="1:10" s="88" customFormat="1" ht="6.75" customHeight="1">
      <c r="A44" s="288"/>
      <c r="B44" s="289"/>
      <c r="C44" s="289"/>
      <c r="D44" s="289"/>
      <c r="E44" s="289"/>
      <c r="F44" s="315"/>
      <c r="G44" s="316"/>
      <c r="H44" s="317"/>
      <c r="I44" s="317"/>
      <c r="J44" s="317"/>
    </row>
    <row r="45" spans="1:10" ht="18" customHeight="1">
      <c r="A45" s="274"/>
      <c r="B45" s="332" t="s">
        <v>564</v>
      </c>
      <c r="C45" s="333"/>
      <c r="D45" s="333"/>
      <c r="E45" s="333"/>
      <c r="F45" s="333"/>
      <c r="G45" s="302"/>
      <c r="H45" s="303"/>
      <c r="I45" s="304"/>
      <c r="J45" s="304"/>
    </row>
    <row r="46" spans="1:10" ht="18" customHeight="1">
      <c r="A46" s="274"/>
      <c r="B46" s="275"/>
      <c r="C46" s="275"/>
      <c r="D46" s="275" t="s">
        <v>119</v>
      </c>
      <c r="E46" s="275"/>
      <c r="F46" s="301"/>
      <c r="G46" s="302" t="s">
        <v>210</v>
      </c>
      <c r="H46" s="303">
        <f>'FORM1a-ABR Office'!I47+'FORM1a-ABR Office'!I245+'FORM1a-ABR Office'!I316+'FORM1a-ABR Office'!I376+'FORM1a-ABR Office'!I443+'FORM1a-ABR Office'!I510+'FORM1a-ABR Office'!I578+'FORM1a-ABR Office'!I644+'FORM1a-ABR Office'!I716+'FORM1a-ABR Office'!I789+'FORM1a-ABR Office'!I854+'FORM1a-ABR Office'!I927+'FORM1a-ABR Office'!I995+'FORM1a-ABR Office'!I1061</f>
        <v>3922978.04</v>
      </c>
      <c r="I46" s="303">
        <v>4013296.05</v>
      </c>
      <c r="J46" s="303">
        <f>'FORM1a-ABR Office'!M47+'FORM1a-ABR Office'!M245+'FORM1a-ABR Office'!M316+'FORM1a-ABR Office'!M376+'FORM1a-ABR Office'!M443+'FORM1a-ABR Office'!M510+'FORM1a-ABR Office'!M578+'FORM1a-ABR Office'!M644+'FORM1a-ABR Office'!M716+'FORM1a-ABR Office'!M789+'FORM1a-ABR Office'!M854+'FORM1a-ABR Office'!M927+'FORM1a-ABR Office'!M995+'FORM1a-ABR Office'!M1061</f>
        <v>4744000</v>
      </c>
    </row>
    <row r="47" spans="1:10" ht="18" customHeight="1">
      <c r="A47" s="274"/>
      <c r="B47" s="275"/>
      <c r="C47" s="275"/>
      <c r="D47" s="275" t="s">
        <v>418</v>
      </c>
      <c r="E47" s="275"/>
      <c r="F47" s="301"/>
      <c r="G47" s="302" t="s">
        <v>419</v>
      </c>
      <c r="H47" s="303">
        <f>'FORM1a-ABR Office'!I48+'FORM1a-ABR Office'!I246</f>
        <v>174512</v>
      </c>
      <c r="I47" s="303">
        <f>'FORM1a-ABR Office'!J48+'FORM1a-ABR Office'!J246</f>
        <v>0</v>
      </c>
      <c r="J47" s="303">
        <f>'FORM1a-ABR Office'!M48+'FORM1a-ABR Office'!M246</f>
        <v>150000</v>
      </c>
    </row>
    <row r="48" spans="1:10" ht="18" customHeight="1">
      <c r="A48" s="274"/>
      <c r="B48" s="275"/>
      <c r="C48" s="275"/>
      <c r="D48" s="275" t="s">
        <v>91</v>
      </c>
      <c r="E48" s="275"/>
      <c r="F48" s="301"/>
      <c r="G48" s="302" t="s">
        <v>211</v>
      </c>
      <c r="H48" s="303">
        <f>'FORM1a-ABR Office'!I49+'FORM1a-ABR Office'!I247+'FORM1a-ABR Office'!I317+'FORM1a-ABR Office'!I377+'FORM1a-ABR Office'!I444+'FORM1a-ABR Office'!I511+'FORM1a-ABR Office'!I579+'FORM1a-ABR Office'!I645+'FORM1a-ABR Office'!I717+'FORM1a-ABR Office'!I790+'FORM1a-ABR Office'!I855+'FORM1a-ABR Office'!I928+'FORM1a-ABR Office'!I996+'FORM1a-ABR Office'!I1062</f>
        <v>2553227.3800000004</v>
      </c>
      <c r="I48" s="303">
        <v>2291228.5699999998</v>
      </c>
      <c r="J48" s="303">
        <f>'FORM1a-ABR Office'!M49+'FORM1a-ABR Office'!M247+'FORM1a-ABR Office'!M317+'FORM1a-ABR Office'!M377+'FORM1a-ABR Office'!M444+'FORM1a-ABR Office'!M511+'FORM1a-ABR Office'!M579+'FORM1a-ABR Office'!M645+'FORM1a-ABR Office'!M717+'FORM1a-ABR Office'!M790+'FORM1a-ABR Office'!M855+'FORM1a-ABR Office'!M928+'FORM1a-ABR Office'!M996+'FORM1a-ABR Office'!M1062</f>
        <v>3480000</v>
      </c>
    </row>
    <row r="49" spans="1:11" ht="18" customHeight="1">
      <c r="A49" s="274"/>
      <c r="B49" s="275"/>
      <c r="C49" s="275"/>
      <c r="D49" s="275" t="s">
        <v>58</v>
      </c>
      <c r="E49" s="275"/>
      <c r="F49" s="301"/>
      <c r="G49" s="302" t="s">
        <v>212</v>
      </c>
      <c r="H49" s="303">
        <f>'FORM1a-ABR Office'!I50+'FORM1a-ABR Office'!I248+'FORM1a-ABR Office'!I318+'FORM1a-ABR Office'!I378+'FORM1a-ABR Office'!I445+'FORM1a-ABR Office'!I512+'FORM1a-ABR Office'!I580+'FORM1a-ABR Office'!I646+'FORM1a-ABR Office'!I718+'FORM1a-ABR Office'!I791+'FORM1a-ABR Office'!I856+'FORM1a-ABR Office'!I929+'FORM1a-ABR Office'!I997+'FORM1a-ABR Office'!I1063</f>
        <v>2730197.22</v>
      </c>
      <c r="I49" s="303">
        <v>3433793.48</v>
      </c>
      <c r="J49" s="303">
        <f>'FORM1a-ABR Office'!M50+'FORM1a-ABR Office'!M248+'FORM1a-ABR Office'!M318+'FORM1a-ABR Office'!M378+'FORM1a-ABR Office'!M445+'FORM1a-ABR Office'!M512+'FORM1a-ABR Office'!M580+'FORM1a-ABR Office'!M646+'FORM1a-ABR Office'!M718+'FORM1a-ABR Office'!M791+'FORM1a-ABR Office'!M856+'FORM1a-ABR Office'!M929+'FORM1a-ABR Office'!M997+'FORM1a-ABR Office'!M1063+'FORM1a-ABR Office'!M647</f>
        <v>5341821</v>
      </c>
      <c r="K49" s="318">
        <f>'[1]LBP NO. 2'!N43+'[1]LBP NO. 2'!N205+'[1]LBP NO. 2'!N276+'[1]LBP NO. 2'!N346+'[1]LBP NO. 2'!N424+'[1]LBP NO. 2'!N496+'[1]LBP NO. 2'!N569+'[1]LBP NO. 2'!N640+'[1]LBP NO. 2'!N714+'[1]LBP NO. 2'!N788+'[1]LBP NO. 2'!N862+'[1]LBP NO. 2'!N943+'[1]LBP NO. 2'!N1014+'[1]LBP NO. 2'!N1086</f>
        <v>0</v>
      </c>
    </row>
    <row r="50" spans="1:11" ht="18" customHeight="1">
      <c r="A50" s="274"/>
      <c r="B50" s="275"/>
      <c r="C50" s="275"/>
      <c r="D50" s="275" t="s">
        <v>120</v>
      </c>
      <c r="E50" s="275"/>
      <c r="F50" s="301"/>
      <c r="G50" s="302" t="s">
        <v>221</v>
      </c>
      <c r="H50" s="303">
        <f>'FORM1a-ABR Office'!I581</f>
        <v>148475</v>
      </c>
      <c r="I50" s="303">
        <v>296730</v>
      </c>
      <c r="J50" s="303">
        <f>'FORM1a-ABR Office'!M581</f>
        <v>300000</v>
      </c>
    </row>
    <row r="51" spans="1:11" ht="18" customHeight="1">
      <c r="A51" s="274"/>
      <c r="B51" s="275"/>
      <c r="C51" s="275"/>
      <c r="D51" s="275" t="s">
        <v>121</v>
      </c>
      <c r="E51" s="275"/>
      <c r="F51" s="301"/>
      <c r="G51" s="302" t="s">
        <v>222</v>
      </c>
      <c r="H51" s="303">
        <f>'FORM1a-ABR Office'!I930+'FORM1a-ABR Office'!I998</f>
        <v>2784313</v>
      </c>
      <c r="I51" s="303">
        <v>2856833</v>
      </c>
      <c r="J51" s="303">
        <f>'FORM1a-ABR Office'!M930+'FORM1a-ABR Office'!M998</f>
        <v>3000000</v>
      </c>
    </row>
    <row r="52" spans="1:11" ht="18" customHeight="1">
      <c r="A52" s="274"/>
      <c r="B52" s="275"/>
      <c r="C52" s="275"/>
      <c r="D52" s="275" t="s">
        <v>122</v>
      </c>
      <c r="E52" s="275"/>
      <c r="F52" s="301"/>
      <c r="G52" s="302" t="s">
        <v>223</v>
      </c>
      <c r="H52" s="303">
        <f>'FORM1a-ABR Office'!I931</f>
        <v>61206</v>
      </c>
      <c r="I52" s="303">
        <f>'FORM1a-ABR Office'!J931</f>
        <v>0</v>
      </c>
      <c r="J52" s="303">
        <f>'FORM1a-ABR Office'!M931</f>
        <v>216000</v>
      </c>
    </row>
    <row r="53" spans="1:11" ht="18" customHeight="1">
      <c r="A53" s="274"/>
      <c r="B53" s="275"/>
      <c r="C53" s="275"/>
      <c r="D53" s="275" t="s">
        <v>307</v>
      </c>
      <c r="E53" s="275"/>
      <c r="F53" s="301"/>
      <c r="G53" s="302" t="s">
        <v>224</v>
      </c>
      <c r="H53" s="303">
        <f>'FORM1a-ABR Office'!I249</f>
        <v>272923.01</v>
      </c>
      <c r="I53" s="303">
        <v>240201.26</v>
      </c>
      <c r="J53" s="303">
        <f>'FORM1a-ABR Office'!M249</f>
        <v>750000</v>
      </c>
    </row>
    <row r="54" spans="1:11" ht="18" customHeight="1">
      <c r="A54" s="274"/>
      <c r="B54" s="275"/>
      <c r="C54" s="275"/>
      <c r="D54" s="275" t="s">
        <v>123</v>
      </c>
      <c r="E54" s="275"/>
      <c r="F54" s="301"/>
      <c r="G54" s="302" t="s">
        <v>213</v>
      </c>
      <c r="H54" s="303">
        <f>'FORM1a-ABR Office'!I51+'FORM1a-ABR Office'!I250+'FORM1a-ABR Office'!I379+'FORM1a-ABR Office'!I582+'FORM1a-ABR Office'!I648+'FORM1a-ABR Office'!I719+'FORM1a-ABR Office'!I792+'FORM1a-ABR Office'!I857</f>
        <v>2800</v>
      </c>
      <c r="I54" s="303">
        <v>0</v>
      </c>
      <c r="J54" s="303">
        <f>'FORM1a-ABR Office'!M51+'FORM1a-ABR Office'!M250+'FORM1a-ABR Office'!M379+'FORM1a-ABR Office'!M582+'FORM1a-ABR Office'!M648+'FORM1a-ABR Office'!M719+'FORM1a-ABR Office'!M792+'FORM1a-ABR Office'!M857</f>
        <v>28500</v>
      </c>
    </row>
    <row r="55" spans="1:11" ht="18" customHeight="1">
      <c r="A55" s="274"/>
      <c r="B55" s="275"/>
      <c r="C55" s="275"/>
      <c r="D55" s="275" t="s">
        <v>124</v>
      </c>
      <c r="E55" s="275"/>
      <c r="F55" s="301"/>
      <c r="G55" s="302" t="s">
        <v>214</v>
      </c>
      <c r="H55" s="303">
        <f>'FORM1a-ABR Office'!I251</f>
        <v>92869.46</v>
      </c>
      <c r="I55" s="303">
        <v>6000</v>
      </c>
      <c r="J55" s="303">
        <f>'FORM1a-ABR Office'!M251</f>
        <v>96000</v>
      </c>
    </row>
    <row r="56" spans="1:11" ht="18" customHeight="1">
      <c r="A56" s="274"/>
      <c r="B56" s="275"/>
      <c r="C56" s="275"/>
      <c r="D56" s="275" t="s">
        <v>125</v>
      </c>
      <c r="E56" s="275"/>
      <c r="F56" s="301"/>
      <c r="G56" s="302" t="s">
        <v>214</v>
      </c>
      <c r="H56" s="303">
        <f>'FORM1a-ABR Office'!I52+'FORM1a-ABR Office'!I252+'FORM1a-ABR Office'!I319+'FORM1a-ABR Office'!I380+'FORM1a-ABR Office'!I446+'FORM1a-ABR Office'!I513+'FORM1a-ABR Office'!I583+'FORM1a-ABR Office'!I649+'FORM1a-ABR Office'!I720+'FORM1a-ABR Office'!I793+'FORM1a-ABR Office'!I858+'FORM1a-ABR Office'!I933+'FORM1a-ABR Office'!I1064</f>
        <v>894381.80999999994</v>
      </c>
      <c r="I56" s="303">
        <v>982581.82</v>
      </c>
      <c r="J56" s="303">
        <f>'FORM1a-ABR Office'!M52+'FORM1a-ABR Office'!M252+'FORM1a-ABR Office'!M319+'FORM1a-ABR Office'!M380+'FORM1a-ABR Office'!M446+'FORM1a-ABR Office'!M513+'FORM1a-ABR Office'!M583+'FORM1a-ABR Office'!M649+'FORM1a-ABR Office'!M720+'FORM1a-ABR Office'!M793+'FORM1a-ABR Office'!M858+'FORM1a-ABR Office'!M933+'FORM1a-ABR Office'!M1064</f>
        <v>722400</v>
      </c>
    </row>
    <row r="57" spans="1:11" ht="18" customHeight="1">
      <c r="A57" s="274"/>
      <c r="B57" s="275"/>
      <c r="C57" s="275"/>
      <c r="D57" s="275" t="s">
        <v>126</v>
      </c>
      <c r="E57" s="275"/>
      <c r="F57" s="301"/>
      <c r="G57" s="302" t="s">
        <v>225</v>
      </c>
      <c r="H57" s="303">
        <f>'FORM1a-ABR Office'!I253</f>
        <v>712500</v>
      </c>
      <c r="I57" s="303">
        <v>451500</v>
      </c>
      <c r="J57" s="303">
        <f>'FORM1a-ABR Office'!M253</f>
        <v>1500000</v>
      </c>
    </row>
    <row r="58" spans="1:11" ht="18" customHeight="1">
      <c r="A58" s="274"/>
      <c r="B58" s="275"/>
      <c r="C58" s="275"/>
      <c r="D58" s="275" t="s">
        <v>127</v>
      </c>
      <c r="E58" s="275"/>
      <c r="F58" s="301"/>
      <c r="G58" s="302" t="s">
        <v>226</v>
      </c>
      <c r="H58" s="303">
        <f>'FORM1a-ABR Office'!I56+'FORM1a-ABR Office'!I254</f>
        <v>287019</v>
      </c>
      <c r="I58" s="303">
        <v>665291</v>
      </c>
      <c r="J58" s="303">
        <f>'FORM1a-ABR Office'!M56+'FORM1a-ABR Office'!M254</f>
        <v>860000</v>
      </c>
    </row>
    <row r="59" spans="1:11" ht="18" customHeight="1">
      <c r="A59" s="274"/>
      <c r="B59" s="275"/>
      <c r="C59" s="275"/>
      <c r="D59" s="275" t="s">
        <v>308</v>
      </c>
      <c r="E59" s="275"/>
      <c r="F59" s="301"/>
      <c r="G59" s="302" t="s">
        <v>227</v>
      </c>
      <c r="H59" s="303">
        <f>'FORM1a-ABR Office'!I255</f>
        <v>96353.12</v>
      </c>
      <c r="I59" s="303">
        <v>172673.79</v>
      </c>
      <c r="J59" s="303">
        <f>'FORM1a-ABR Office'!M255</f>
        <v>300000</v>
      </c>
    </row>
    <row r="60" spans="1:11" ht="18" customHeight="1">
      <c r="A60" s="274"/>
      <c r="B60" s="275"/>
      <c r="C60" s="275"/>
      <c r="D60" s="275" t="s">
        <v>309</v>
      </c>
      <c r="E60" s="275"/>
      <c r="F60" s="301"/>
      <c r="G60" s="302" t="s">
        <v>215</v>
      </c>
      <c r="H60" s="303">
        <f>'FORM1a-ABR Office'!I53+'FORM1a-ABR Office'!I256+'FORM1a-ABR Office'!I320+'FORM1a-ABR Office'!I381+'FORM1a-ABR Office'!I447+'FORM1a-ABR Office'!I514+'FORM1a-ABR Office'!I584+'FORM1a-ABR Office'!I650+'FORM1a-ABR Office'!I721+'FORM1a-ABR Office'!I794+'FORM1a-ABR Office'!I859+'FORM1a-ABR Office'!I934+'FORM1a-ABR Office'!I999+'FORM1a-ABR Office'!I1065</f>
        <v>220210</v>
      </c>
      <c r="I60" s="303">
        <v>367316</v>
      </c>
      <c r="J60" s="303">
        <f>'FORM1a-ABR Office'!M53+'FORM1a-ABR Office'!M256+'FORM1a-ABR Office'!M320+'FORM1a-ABR Office'!M381+'FORM1a-ABR Office'!M447+'FORM1a-ABR Office'!M514+'FORM1a-ABR Office'!M584+'FORM1a-ABR Office'!M650+'FORM1a-ABR Office'!M721+'FORM1a-ABR Office'!M794+'FORM1a-ABR Office'!M859+'FORM1a-ABR Office'!M934+'FORM1a-ABR Office'!M999+'FORM1a-ABR Office'!M1065</f>
        <v>821000</v>
      </c>
    </row>
    <row r="61" spans="1:11" ht="18" customHeight="1">
      <c r="A61" s="274"/>
      <c r="B61" s="275"/>
      <c r="C61" s="275"/>
      <c r="D61" s="191" t="s">
        <v>420</v>
      </c>
      <c r="E61" s="275"/>
      <c r="F61" s="301"/>
      <c r="G61" s="130" t="s">
        <v>215</v>
      </c>
      <c r="H61" s="303">
        <f>'FORM1a-ABR Office'!I54</f>
        <v>0</v>
      </c>
      <c r="I61" s="303">
        <v>0</v>
      </c>
      <c r="J61" s="303">
        <f>'FORM1a-ABR Office'!M54</f>
        <v>150000</v>
      </c>
    </row>
    <row r="62" spans="1:11" ht="18" customHeight="1">
      <c r="A62" s="274"/>
      <c r="B62" s="275"/>
      <c r="C62" s="275"/>
      <c r="D62" s="275" t="s">
        <v>323</v>
      </c>
      <c r="E62" s="275"/>
      <c r="F62" s="301"/>
      <c r="G62" s="302" t="s">
        <v>321</v>
      </c>
      <c r="H62" s="303">
        <f>'FORM1a-ABR Office'!I257+'FORM1a-ABR Office'!I860</f>
        <v>196351.51</v>
      </c>
      <c r="I62" s="303">
        <v>262625.64</v>
      </c>
      <c r="J62" s="303">
        <f>'FORM1a-ABR Office'!M257+'FORM1a-ABR Office'!M860</f>
        <v>680000</v>
      </c>
    </row>
    <row r="63" spans="1:11" ht="18" customHeight="1">
      <c r="A63" s="274"/>
      <c r="B63" s="275"/>
      <c r="C63" s="275"/>
      <c r="D63" s="275" t="s">
        <v>128</v>
      </c>
      <c r="E63" s="275"/>
      <c r="F63" s="275"/>
      <c r="G63" s="277" t="s">
        <v>228</v>
      </c>
      <c r="H63" s="76">
        <f>'FORM1a-ABR Office'!I55</f>
        <v>52660</v>
      </c>
      <c r="I63" s="76">
        <v>0</v>
      </c>
      <c r="J63" s="76">
        <f>'FORM1a-ABR Office'!M55</f>
        <v>103998</v>
      </c>
    </row>
    <row r="64" spans="1:11" ht="18" customHeight="1">
      <c r="A64" s="274"/>
      <c r="B64" s="275"/>
      <c r="C64" s="275"/>
      <c r="D64" s="275" t="s">
        <v>129</v>
      </c>
      <c r="E64" s="275"/>
      <c r="F64" s="275"/>
      <c r="G64" s="277" t="s">
        <v>228</v>
      </c>
      <c r="H64" s="76">
        <f>'FORM1a-ABR Office'!I795+'FORM1a-ABR Office'!I796+'FORM1a-ABR Office'!I861</f>
        <v>2541572</v>
      </c>
      <c r="I64" s="76">
        <v>2464009.42</v>
      </c>
      <c r="J64" s="76">
        <f>'FORM1a-ABR Office'!M795+'FORM1a-ABR Office'!M796+'FORM1a-ABR Office'!M861</f>
        <v>3532580</v>
      </c>
    </row>
    <row r="65" spans="1:10" ht="18" customHeight="1">
      <c r="A65" s="274"/>
      <c r="B65" s="275"/>
      <c r="C65" s="275"/>
      <c r="D65" s="275" t="s">
        <v>365</v>
      </c>
      <c r="E65" s="275"/>
      <c r="F65" s="275"/>
      <c r="G65" s="277"/>
      <c r="H65" s="76">
        <f>'FORM1a-ABR Office'!I932+'FORM1a-ABR Office'!I862+'FORM1a-ABR Office'!I797</f>
        <v>6475724.0499999998</v>
      </c>
      <c r="I65" s="76">
        <v>8027273.7199999997</v>
      </c>
      <c r="J65" s="76">
        <f>'FORM1a-ABR Office'!M932+'FORM1a-ABR Office'!M862+'FORM1a-ABR Office'!M797</f>
        <v>8000000</v>
      </c>
    </row>
    <row r="66" spans="1:10" ht="18" customHeight="1">
      <c r="A66" s="274"/>
      <c r="B66" s="275"/>
      <c r="C66" s="275"/>
      <c r="D66" s="275" t="s">
        <v>130</v>
      </c>
      <c r="E66" s="275"/>
      <c r="F66" s="275"/>
      <c r="G66" s="277" t="s">
        <v>229</v>
      </c>
      <c r="H66" s="76">
        <f>'FORM1a-ABR Office'!I585</f>
        <v>270993.13</v>
      </c>
      <c r="I66" s="76">
        <v>272703.75</v>
      </c>
      <c r="J66" s="76">
        <f>'FORM1a-ABR Office'!M585</f>
        <v>400000</v>
      </c>
    </row>
    <row r="67" spans="1:10" ht="18" customHeight="1">
      <c r="A67" s="274"/>
      <c r="B67" s="275"/>
      <c r="C67" s="275"/>
      <c r="D67" s="275" t="s">
        <v>131</v>
      </c>
      <c r="E67" s="275"/>
      <c r="F67" s="275"/>
      <c r="G67" s="277" t="s">
        <v>216</v>
      </c>
      <c r="H67" s="76">
        <f>'FORM1a-ABR Office'!I57+'FORM1a-ABR Office'!I321+'FORM1a-ABR Office'!I382+'FORM1a-ABR Office'!I515+'FORM1a-ABR Office'!I586+'FORM1a-ABR Office'!I651+'FORM1a-ABR Office'!I722+'FORM1a-ABR Office'!I798+'FORM1a-ABR Office'!I863+'FORM1a-ABR Office'!I935+'FORM1a-ABR Office'!I1000+'FORM1a-ABR Office'!I1066</f>
        <v>462906</v>
      </c>
      <c r="I67" s="76">
        <v>221704.93</v>
      </c>
      <c r="J67" s="76">
        <f>'FORM1a-ABR Office'!M57+'FORM1a-ABR Office'!M321+'FORM1a-ABR Office'!M382+'FORM1a-ABR Office'!M515+'FORM1a-ABR Office'!M586+'FORM1a-ABR Office'!M651+'FORM1a-ABR Office'!M722+'FORM1a-ABR Office'!M798+'FORM1a-ABR Office'!M863+'FORM1a-ABR Office'!M935+'FORM1a-ABR Office'!M1000+'FORM1a-ABR Office'!M1066</f>
        <v>570000</v>
      </c>
    </row>
    <row r="68" spans="1:10" ht="18" hidden="1" customHeight="1">
      <c r="A68" s="274"/>
      <c r="B68" s="275"/>
      <c r="C68" s="275"/>
      <c r="D68" s="275" t="s">
        <v>537</v>
      </c>
      <c r="E68" s="275"/>
      <c r="F68" s="275"/>
      <c r="G68" s="277" t="s">
        <v>216</v>
      </c>
      <c r="H68" s="76"/>
      <c r="I68" s="76"/>
      <c r="J68" s="76"/>
    </row>
    <row r="69" spans="1:10" ht="18" customHeight="1" thickBot="1">
      <c r="A69" s="319"/>
      <c r="B69" s="87"/>
      <c r="C69" s="87"/>
      <c r="D69" s="87" t="s">
        <v>355</v>
      </c>
      <c r="E69" s="87"/>
      <c r="F69" s="87"/>
      <c r="G69" s="320" t="s">
        <v>216</v>
      </c>
      <c r="H69" s="283">
        <f>'FORM1a-ABR Office'!I58</f>
        <v>819000</v>
      </c>
      <c r="I69" s="283">
        <v>1247000</v>
      </c>
      <c r="J69" s="283">
        <f>'[1]LBP NO. 2'!M51</f>
        <v>0</v>
      </c>
    </row>
    <row r="70" spans="1:10" s="88" customFormat="1" ht="18" customHeight="1" thickBot="1">
      <c r="A70" s="284"/>
      <c r="B70" s="285"/>
      <c r="C70" s="285"/>
      <c r="D70" s="285" t="s">
        <v>244</v>
      </c>
      <c r="E70" s="285"/>
      <c r="F70" s="285"/>
      <c r="G70" s="287"/>
      <c r="H70" s="295">
        <f>SUM(H46:H69)</f>
        <v>25773171.73</v>
      </c>
      <c r="I70" s="295">
        <f>SUM(I46:I69)</f>
        <v>28272762.43</v>
      </c>
      <c r="J70" s="295">
        <f>SUM(J46:J69)</f>
        <v>35746299</v>
      </c>
    </row>
    <row r="71" spans="1:10" ht="15.75">
      <c r="A71" s="360"/>
      <c r="B71" s="361"/>
      <c r="C71" s="361"/>
      <c r="D71" s="361"/>
      <c r="E71" s="361"/>
      <c r="F71" s="361"/>
      <c r="G71" s="272"/>
      <c r="H71" s="273"/>
      <c r="I71" s="365"/>
      <c r="J71" s="365"/>
    </row>
    <row r="72" spans="1:10" ht="18" customHeight="1">
      <c r="A72" s="319"/>
      <c r="B72" s="359" t="s">
        <v>565</v>
      </c>
      <c r="C72" s="359"/>
      <c r="D72" s="359"/>
      <c r="E72" s="359"/>
      <c r="F72" s="359"/>
      <c r="G72" s="320"/>
      <c r="H72" s="283"/>
      <c r="I72" s="5"/>
      <c r="J72" s="5"/>
    </row>
    <row r="73" spans="1:10" ht="18" customHeight="1">
      <c r="A73" s="296"/>
      <c r="B73" s="297"/>
      <c r="C73" s="297"/>
      <c r="D73" s="147" t="s">
        <v>305</v>
      </c>
      <c r="E73" s="147"/>
      <c r="F73" s="363"/>
      <c r="G73" s="364" t="s">
        <v>306</v>
      </c>
      <c r="H73" s="278">
        <f>'FORM1a-ABR Office'!I65</f>
        <v>899543.6</v>
      </c>
      <c r="I73" s="278"/>
      <c r="J73" s="278"/>
    </row>
    <row r="74" spans="1:10" ht="18" customHeight="1">
      <c r="A74" s="274"/>
      <c r="B74" s="275"/>
      <c r="C74" s="275"/>
      <c r="D74" s="127" t="s">
        <v>332</v>
      </c>
      <c r="E74" s="127"/>
      <c r="F74" s="128"/>
      <c r="G74" s="130" t="s">
        <v>315</v>
      </c>
      <c r="H74" s="76"/>
      <c r="I74" s="76"/>
      <c r="J74" s="76">
        <v>300000</v>
      </c>
    </row>
    <row r="75" spans="1:10" ht="18" customHeight="1">
      <c r="A75" s="274"/>
      <c r="B75" s="275"/>
      <c r="C75" s="275"/>
      <c r="D75" s="127" t="s">
        <v>410</v>
      </c>
      <c r="E75" s="127"/>
      <c r="F75" s="128"/>
      <c r="G75" s="130" t="s">
        <v>315</v>
      </c>
      <c r="H75" s="76">
        <f>'FORM1a-ABR Office'!I867</f>
        <v>999817.56</v>
      </c>
      <c r="I75" s="76">
        <f>1698832.8</f>
        <v>1698832.8</v>
      </c>
      <c r="J75" s="76"/>
    </row>
    <row r="76" spans="1:10" ht="18" customHeight="1">
      <c r="A76" s="274"/>
      <c r="B76" s="275"/>
      <c r="C76" s="275"/>
      <c r="D76" s="127" t="s">
        <v>195</v>
      </c>
      <c r="E76" s="127"/>
      <c r="F76" s="128"/>
      <c r="G76" s="130" t="s">
        <v>286</v>
      </c>
      <c r="H76" s="76">
        <f>'FORM1a-ABR Office'!I802</f>
        <v>65004.5</v>
      </c>
      <c r="I76" s="76">
        <f>656415+56000+155480+50000</f>
        <v>917895</v>
      </c>
      <c r="J76" s="76">
        <f>500000+200000+250000+55000</f>
        <v>1005000</v>
      </c>
    </row>
    <row r="77" spans="1:10" ht="18" customHeight="1">
      <c r="A77" s="274"/>
      <c r="B77" s="275"/>
      <c r="C77" s="275"/>
      <c r="D77" s="127" t="s">
        <v>284</v>
      </c>
      <c r="E77" s="127"/>
      <c r="F77" s="128"/>
      <c r="G77" s="130" t="s">
        <v>348</v>
      </c>
      <c r="H77" s="76"/>
      <c r="I77" s="76">
        <f>62990+44780+70000+70000</f>
        <v>247770</v>
      </c>
      <c r="J77" s="76">
        <f>200000+190000+80000+65000+200000+150000+70000</f>
        <v>955000</v>
      </c>
    </row>
    <row r="78" spans="1:10" ht="18" customHeight="1">
      <c r="A78" s="274"/>
      <c r="B78" s="275"/>
      <c r="C78" s="275"/>
      <c r="D78" s="127" t="s">
        <v>292</v>
      </c>
      <c r="E78" s="127"/>
      <c r="F78" s="128"/>
      <c r="G78" s="130" t="s">
        <v>293</v>
      </c>
      <c r="H78" s="76"/>
      <c r="I78" s="76"/>
      <c r="J78" s="76">
        <v>50000</v>
      </c>
    </row>
    <row r="79" spans="1:10" ht="18" customHeight="1">
      <c r="A79" s="274"/>
      <c r="B79" s="275"/>
      <c r="C79" s="275"/>
      <c r="D79" s="127" t="s">
        <v>291</v>
      </c>
      <c r="E79" s="127"/>
      <c r="F79" s="128"/>
      <c r="G79" s="130" t="s">
        <v>294</v>
      </c>
      <c r="H79" s="76">
        <f>'FORM1a-ABR Office'!I62+'[2]FORM1a-ABR Office'!$I$872</f>
        <v>2990000</v>
      </c>
      <c r="I79" s="76"/>
      <c r="J79" s="76">
        <f>600000+1600000</f>
        <v>2200000</v>
      </c>
    </row>
    <row r="80" spans="1:10" ht="18" customHeight="1">
      <c r="A80" s="274"/>
      <c r="B80" s="275"/>
      <c r="C80" s="275"/>
      <c r="D80" s="127" t="s">
        <v>471</v>
      </c>
      <c r="E80" s="127"/>
      <c r="F80" s="128"/>
      <c r="G80" s="130" t="s">
        <v>472</v>
      </c>
      <c r="H80" s="76">
        <f>'[2]FORM1a-ABR Office'!$I$869</f>
        <v>1498000</v>
      </c>
      <c r="I80" s="76"/>
      <c r="J80" s="76"/>
    </row>
    <row r="81" spans="1:10" ht="18" customHeight="1">
      <c r="A81" s="274"/>
      <c r="B81" s="275"/>
      <c r="C81" s="275"/>
      <c r="D81" s="127" t="s">
        <v>359</v>
      </c>
      <c r="E81" s="127"/>
      <c r="F81" s="128"/>
      <c r="G81" s="130" t="s">
        <v>290</v>
      </c>
      <c r="H81" s="76"/>
      <c r="I81" s="76"/>
      <c r="J81" s="76">
        <f>200000+80000+160000+100000</f>
        <v>540000</v>
      </c>
    </row>
    <row r="82" spans="1:10" ht="19.5" customHeight="1">
      <c r="A82" s="296"/>
      <c r="B82" s="297"/>
      <c r="C82" s="297"/>
      <c r="D82" s="289" t="s">
        <v>463</v>
      </c>
      <c r="E82" s="297"/>
      <c r="F82" s="297"/>
      <c r="G82" s="291" t="s">
        <v>465</v>
      </c>
      <c r="H82" s="76"/>
      <c r="I82" s="7"/>
      <c r="J82" s="7">
        <v>50000</v>
      </c>
    </row>
    <row r="83" spans="1:10" ht="33.75" customHeight="1" thickBot="1">
      <c r="A83" s="296"/>
      <c r="B83" s="297"/>
      <c r="C83" s="297"/>
      <c r="D83" s="380" t="s">
        <v>566</v>
      </c>
      <c r="E83" s="380"/>
      <c r="F83" s="381"/>
      <c r="G83" s="291" t="s">
        <v>474</v>
      </c>
      <c r="H83" s="76"/>
      <c r="I83" s="7"/>
      <c r="J83" s="7">
        <v>500000</v>
      </c>
    </row>
    <row r="84" spans="1:10" ht="18" customHeight="1" thickBot="1">
      <c r="A84" s="298"/>
      <c r="B84" s="321"/>
      <c r="C84" s="321"/>
      <c r="D84" s="285" t="s">
        <v>538</v>
      </c>
      <c r="E84" s="321"/>
      <c r="F84" s="321"/>
      <c r="G84" s="322"/>
      <c r="H84" s="295">
        <f>SUM(H73:H83)</f>
        <v>6452365.6600000001</v>
      </c>
      <c r="I84" s="295">
        <f>SUM(I73:I83)</f>
        <v>2864497.8</v>
      </c>
      <c r="J84" s="295">
        <f>SUM(J73:J83)</f>
        <v>5600000</v>
      </c>
    </row>
    <row r="85" spans="1:10" ht="24" customHeight="1" thickBot="1">
      <c r="A85" s="298"/>
      <c r="B85" s="285" t="s">
        <v>567</v>
      </c>
      <c r="C85" s="321"/>
      <c r="D85" s="285"/>
      <c r="E85" s="321"/>
      <c r="F85" s="321"/>
      <c r="G85" s="322"/>
      <c r="H85" s="366">
        <v>0</v>
      </c>
      <c r="I85" s="367">
        <v>0</v>
      </c>
      <c r="J85" s="367">
        <v>0</v>
      </c>
    </row>
    <row r="86" spans="1:10" ht="18" customHeight="1">
      <c r="A86" s="296"/>
      <c r="B86" s="289" t="s">
        <v>133</v>
      </c>
      <c r="C86" s="297"/>
      <c r="D86" s="297"/>
      <c r="E86" s="297"/>
      <c r="F86" s="297"/>
      <c r="G86" s="291"/>
      <c r="H86" s="278"/>
      <c r="I86" s="6"/>
      <c r="J86" s="6"/>
    </row>
    <row r="87" spans="1:10" ht="18" customHeight="1">
      <c r="A87" s="274"/>
      <c r="B87" s="275"/>
      <c r="C87" s="275"/>
      <c r="D87" s="275" t="s">
        <v>134</v>
      </c>
      <c r="E87" s="275"/>
      <c r="F87" s="275"/>
      <c r="G87" s="277"/>
      <c r="H87" s="76">
        <f>'FORM1a-ABR Office'!I119</f>
        <v>33670422.259999998</v>
      </c>
      <c r="I87" s="76">
        <v>35937345</v>
      </c>
      <c r="J87" s="76">
        <f>'FORM1a-ABR Office'!M119</f>
        <v>47361741.200000003</v>
      </c>
    </row>
    <row r="88" spans="1:10" ht="18" customHeight="1">
      <c r="A88" s="274"/>
      <c r="B88" s="275"/>
      <c r="C88" s="275"/>
      <c r="D88" s="275" t="s">
        <v>539</v>
      </c>
      <c r="E88" s="275"/>
      <c r="F88" s="275"/>
      <c r="G88" s="277"/>
      <c r="H88" s="76">
        <f>'FORM1a-ABR Office'!I120</f>
        <v>4753177.07</v>
      </c>
      <c r="I88" s="76">
        <v>6623425.1399999997</v>
      </c>
      <c r="J88" s="76">
        <f>'FORM1a-ABR Office'!M120</f>
        <v>12963435.300000001</v>
      </c>
    </row>
    <row r="89" spans="1:10" ht="18" customHeight="1">
      <c r="A89" s="274"/>
      <c r="B89" s="275"/>
      <c r="C89" s="275"/>
      <c r="D89" s="275" t="s">
        <v>135</v>
      </c>
      <c r="E89" s="275"/>
      <c r="F89" s="275"/>
      <c r="G89" s="277"/>
      <c r="H89" s="76">
        <f>'FORM1a-ABR Office'!I121</f>
        <v>21000</v>
      </c>
      <c r="I89" s="76">
        <v>21000</v>
      </c>
      <c r="J89" s="76">
        <f>'FORM1a-ABR Office'!M121</f>
        <v>21000</v>
      </c>
    </row>
    <row r="90" spans="1:10" ht="18" customHeight="1" thickBot="1">
      <c r="A90" s="279"/>
      <c r="B90" s="280"/>
      <c r="C90" s="280"/>
      <c r="D90" s="280" t="s">
        <v>540</v>
      </c>
      <c r="E90" s="280"/>
      <c r="F90" s="280"/>
      <c r="G90" s="282"/>
      <c r="H90" s="283">
        <f>'FORM1a-ABR Office'!I199-'FORM1B-ABR Summary'!H87-'FORM1B-ABR Summary'!H88-'FORM1B-ABR Summary'!H89+'FORM1a-ABR Office'!I391</f>
        <v>48410085.420000002</v>
      </c>
      <c r="I90" s="283">
        <v>59849476.560000002</v>
      </c>
      <c r="J90" s="283">
        <f>'[1]LBP NO. 2'!M149-J87-J88-J89</f>
        <v>63194804.120000005</v>
      </c>
    </row>
    <row r="91" spans="1:10" s="88" customFormat="1" ht="18" customHeight="1" thickBot="1">
      <c r="A91" s="284" t="s">
        <v>541</v>
      </c>
      <c r="B91" s="285"/>
      <c r="C91" s="285"/>
      <c r="D91" s="285"/>
      <c r="E91" s="285"/>
      <c r="F91" s="285"/>
      <c r="G91" s="287"/>
      <c r="H91" s="295">
        <f>H43+H70+H84+H87+H88+H89+H90</f>
        <v>195410473.06999999</v>
      </c>
      <c r="I91" s="295">
        <f>I43+I70+I87+I88+I89+I90+I84</f>
        <v>217802108.12</v>
      </c>
      <c r="J91" s="295">
        <f>SUM(J43+J70+J84+J87+J88+J89+J90)+'[1]LBP NO. 2'!M359</f>
        <v>259250296.70999998</v>
      </c>
    </row>
    <row r="92" spans="1:10" ht="18" customHeight="1">
      <c r="B92" s="88"/>
      <c r="G92" s="91"/>
      <c r="H92" s="91"/>
      <c r="I92" s="323"/>
      <c r="J92" s="323"/>
    </row>
    <row r="93" spans="1:10" ht="24.75" customHeight="1">
      <c r="A93" s="377" t="s">
        <v>549</v>
      </c>
      <c r="B93" s="377"/>
      <c r="C93" s="377"/>
      <c r="D93" s="377"/>
      <c r="E93" s="377"/>
      <c r="F93" s="377"/>
      <c r="G93" s="378" t="s">
        <v>550</v>
      </c>
      <c r="H93" s="378"/>
      <c r="I93" s="378" t="s">
        <v>551</v>
      </c>
      <c r="J93" s="378"/>
    </row>
    <row r="94" spans="1:10" ht="18" customHeight="1">
      <c r="A94" s="377"/>
      <c r="B94" s="377"/>
      <c r="C94" s="377"/>
      <c r="D94" s="377"/>
      <c r="E94" s="377"/>
      <c r="F94" s="377"/>
      <c r="G94" s="378"/>
      <c r="H94" s="378"/>
      <c r="I94" s="378"/>
      <c r="J94" s="378"/>
    </row>
    <row r="95" spans="1:10" ht="18" customHeight="1">
      <c r="B95" s="88"/>
      <c r="G95" s="91"/>
      <c r="H95" s="91"/>
      <c r="I95" s="323"/>
      <c r="J95" s="323"/>
    </row>
    <row r="96" spans="1:10" ht="18" customHeight="1">
      <c r="A96" s="376"/>
      <c r="B96" s="376"/>
      <c r="C96" s="376"/>
      <c r="D96" s="376"/>
      <c r="E96" s="376"/>
      <c r="F96" s="376"/>
      <c r="G96" s="376"/>
      <c r="H96" s="376"/>
      <c r="I96" s="376"/>
      <c r="J96" s="376"/>
    </row>
    <row r="97" spans="1:10" ht="18" customHeight="1"/>
    <row r="98" spans="1:10" ht="18" customHeight="1"/>
    <row r="99" spans="1:10" ht="18" customHeight="1"/>
    <row r="100" spans="1:10" ht="18" customHeight="1"/>
    <row r="101" spans="1:10" s="324" customFormat="1" ht="20.100000000000001" hidden="1" customHeight="1">
      <c r="A101" s="379" t="s">
        <v>542</v>
      </c>
      <c r="B101" s="379"/>
      <c r="C101" s="379"/>
      <c r="D101" s="379"/>
      <c r="E101" s="379"/>
      <c r="F101" s="379"/>
      <c r="G101" s="379"/>
      <c r="H101" s="379"/>
      <c r="I101" s="379"/>
      <c r="J101" s="379"/>
    </row>
    <row r="102" spans="1:10" ht="18" hidden="1" customHeight="1">
      <c r="A102" s="88"/>
      <c r="J102" s="257"/>
    </row>
    <row r="103" spans="1:10" ht="18" hidden="1" customHeight="1">
      <c r="A103" s="369" t="s">
        <v>529</v>
      </c>
      <c r="B103" s="369"/>
      <c r="C103" s="369"/>
      <c r="D103" s="369"/>
      <c r="E103" s="369"/>
      <c r="F103" s="369"/>
      <c r="G103" s="369"/>
      <c r="H103" s="369"/>
      <c r="I103" s="369"/>
      <c r="J103" s="369"/>
    </row>
    <row r="104" spans="1:10" ht="18" hidden="1" customHeight="1">
      <c r="A104" s="369" t="s">
        <v>530</v>
      </c>
      <c r="B104" s="369"/>
      <c r="C104" s="369"/>
      <c r="D104" s="369"/>
      <c r="E104" s="369"/>
      <c r="F104" s="369"/>
      <c r="G104" s="369"/>
      <c r="H104" s="369"/>
      <c r="I104" s="369"/>
      <c r="J104" s="369"/>
    </row>
    <row r="105" spans="1:10" ht="18" hidden="1" customHeight="1">
      <c r="A105" s="258"/>
      <c r="B105" s="258"/>
      <c r="C105" s="258"/>
      <c r="D105" s="258"/>
      <c r="E105" s="258"/>
      <c r="F105" s="258"/>
      <c r="G105" s="258"/>
      <c r="H105" s="258"/>
      <c r="I105" s="258"/>
      <c r="J105" s="258"/>
    </row>
    <row r="106" spans="1:10" ht="18" hidden="1" customHeight="1">
      <c r="A106" s="369" t="s">
        <v>543</v>
      </c>
      <c r="B106" s="369"/>
      <c r="C106" s="369"/>
      <c r="D106" s="369"/>
      <c r="E106" s="369"/>
      <c r="F106" s="369"/>
      <c r="G106" s="369"/>
      <c r="H106" s="369"/>
      <c r="I106" s="369"/>
      <c r="J106" s="369"/>
    </row>
    <row r="107" spans="1:10" s="87" customFormat="1" ht="18" hidden="1" customHeight="1">
      <c r="A107" s="259"/>
      <c r="B107" s="260"/>
      <c r="C107" s="260"/>
      <c r="D107" s="260"/>
      <c r="E107" s="260"/>
      <c r="F107" s="260"/>
      <c r="G107" s="261"/>
      <c r="H107" s="261"/>
      <c r="I107" s="357"/>
      <c r="J107" s="262"/>
    </row>
    <row r="108" spans="1:10" s="87" customFormat="1" ht="18" hidden="1" customHeight="1">
      <c r="A108" s="370" t="s">
        <v>1</v>
      </c>
      <c r="B108" s="371"/>
      <c r="C108" s="371"/>
      <c r="D108" s="371"/>
      <c r="E108" s="371"/>
      <c r="F108" s="371"/>
      <c r="G108" s="263" t="s">
        <v>0</v>
      </c>
      <c r="H108" s="263" t="s">
        <v>3</v>
      </c>
      <c r="I108" s="358" t="s">
        <v>188</v>
      </c>
      <c r="J108" s="264" t="s">
        <v>4</v>
      </c>
    </row>
    <row r="109" spans="1:10" s="87" customFormat="1" ht="18" hidden="1" customHeight="1">
      <c r="A109" s="265"/>
      <c r="G109" s="263" t="s">
        <v>2</v>
      </c>
      <c r="H109" s="266">
        <v>2023</v>
      </c>
      <c r="I109" s="263" t="s">
        <v>136</v>
      </c>
      <c r="J109" s="267">
        <v>2025</v>
      </c>
    </row>
    <row r="110" spans="1:10" s="87" customFormat="1" ht="18" hidden="1" customHeight="1">
      <c r="A110" s="265"/>
      <c r="G110" s="263"/>
      <c r="H110" s="263" t="s">
        <v>136</v>
      </c>
      <c r="I110" s="263">
        <v>2024</v>
      </c>
      <c r="J110" s="264" t="s">
        <v>140</v>
      </c>
    </row>
    <row r="111" spans="1:10" s="87" customFormat="1" ht="18" hidden="1" customHeight="1">
      <c r="A111" s="374"/>
      <c r="B111" s="375"/>
      <c r="C111" s="375"/>
      <c r="D111" s="375"/>
      <c r="E111" s="375"/>
      <c r="F111" s="375"/>
      <c r="G111" s="268"/>
      <c r="H111" s="268"/>
      <c r="I111" s="268"/>
      <c r="J111" s="269"/>
    </row>
    <row r="112" spans="1:10" ht="18" hidden="1" customHeight="1">
      <c r="A112" s="270" t="s">
        <v>93</v>
      </c>
      <c r="B112" s="271" t="s">
        <v>94</v>
      </c>
      <c r="C112" s="271"/>
      <c r="D112" s="271"/>
      <c r="E112" s="271"/>
      <c r="F112" s="271"/>
      <c r="G112" s="272"/>
      <c r="H112" s="36">
        <v>0</v>
      </c>
      <c r="I112" s="36">
        <v>0</v>
      </c>
      <c r="J112" s="36" t="e">
        <f>SUM(#REF!)</f>
        <v>#REF!</v>
      </c>
    </row>
    <row r="113" spans="1:11" ht="18" hidden="1" customHeight="1">
      <c r="A113" s="292" t="s">
        <v>95</v>
      </c>
      <c r="B113" s="293" t="s">
        <v>96</v>
      </c>
      <c r="C113" s="293"/>
      <c r="D113" s="293"/>
      <c r="E113" s="293"/>
      <c r="F113" s="293"/>
      <c r="G113" s="277"/>
      <c r="H113" s="325"/>
      <c r="I113" s="10"/>
      <c r="J113" s="10"/>
    </row>
    <row r="114" spans="1:11" ht="18" hidden="1" customHeight="1">
      <c r="A114" s="292"/>
      <c r="B114" s="293" t="s">
        <v>101</v>
      </c>
      <c r="C114" s="293"/>
      <c r="D114" s="293"/>
      <c r="E114" s="293"/>
      <c r="F114" s="293"/>
      <c r="G114" s="277"/>
      <c r="H114" s="325"/>
      <c r="I114" s="10"/>
      <c r="J114" s="10"/>
    </row>
    <row r="115" spans="1:11" ht="18" hidden="1" customHeight="1">
      <c r="A115" s="274"/>
      <c r="B115" s="275"/>
      <c r="C115" s="275" t="s">
        <v>24</v>
      </c>
      <c r="D115" s="275"/>
      <c r="E115" s="275"/>
      <c r="F115" s="275"/>
      <c r="G115" s="277"/>
      <c r="H115" s="325"/>
      <c r="I115" s="10"/>
      <c r="J115" s="10"/>
    </row>
    <row r="116" spans="1:11" ht="18" hidden="1" customHeight="1">
      <c r="A116" s="274"/>
      <c r="B116" s="275"/>
      <c r="C116" s="275"/>
      <c r="D116" s="275" t="s">
        <v>97</v>
      </c>
      <c r="E116" s="275" t="s">
        <v>141</v>
      </c>
      <c r="F116" s="275"/>
      <c r="G116" s="277"/>
      <c r="H116" s="325"/>
      <c r="I116" s="10"/>
      <c r="J116" s="10"/>
    </row>
    <row r="117" spans="1:11" ht="18" hidden="1" customHeight="1">
      <c r="A117" s="274"/>
      <c r="B117" s="275"/>
      <c r="C117" s="275"/>
      <c r="D117" s="275"/>
      <c r="E117" s="275" t="s">
        <v>142</v>
      </c>
      <c r="F117" s="275"/>
      <c r="G117" s="277" t="s">
        <v>239</v>
      </c>
      <c r="H117" s="326">
        <v>0</v>
      </c>
      <c r="I117" s="11">
        <v>0</v>
      </c>
      <c r="J117" s="11"/>
    </row>
    <row r="118" spans="1:11" ht="18" hidden="1" customHeight="1">
      <c r="A118" s="279"/>
      <c r="B118" s="280"/>
      <c r="C118" s="280"/>
      <c r="D118" s="280"/>
      <c r="E118" s="280" t="s">
        <v>143</v>
      </c>
      <c r="F118" s="280"/>
      <c r="G118" s="282" t="s">
        <v>230</v>
      </c>
      <c r="H118" s="327">
        <v>0</v>
      </c>
      <c r="I118" s="12">
        <v>0</v>
      </c>
      <c r="J118" s="12"/>
    </row>
    <row r="119" spans="1:11" s="88" customFormat="1" ht="18" hidden="1" customHeight="1">
      <c r="A119" s="284"/>
      <c r="B119" s="285"/>
      <c r="C119" s="285" t="s">
        <v>98</v>
      </c>
      <c r="D119" s="285"/>
      <c r="E119" s="285"/>
      <c r="F119" s="285"/>
      <c r="G119" s="287"/>
      <c r="H119" s="328">
        <f>SUM(H116:H118)</f>
        <v>0</v>
      </c>
      <c r="I119" s="328">
        <f>SUM(I116:I118)</f>
        <v>0</v>
      </c>
      <c r="J119" s="328">
        <f>SUM(J116:J118)</f>
        <v>0</v>
      </c>
    </row>
    <row r="120" spans="1:11" ht="18" hidden="1" customHeight="1">
      <c r="A120" s="296"/>
      <c r="B120" s="297"/>
      <c r="C120" s="297" t="s">
        <v>25</v>
      </c>
      <c r="D120" s="297"/>
      <c r="E120" s="297"/>
      <c r="F120" s="297"/>
      <c r="G120" s="291"/>
      <c r="H120" s="329"/>
      <c r="I120" s="13"/>
      <c r="J120" s="13"/>
    </row>
    <row r="121" spans="1:11" ht="18" hidden="1" customHeight="1">
      <c r="A121" s="274"/>
      <c r="B121" s="275"/>
      <c r="C121" s="275"/>
      <c r="D121" s="275" t="s">
        <v>99</v>
      </c>
      <c r="E121" s="275"/>
      <c r="F121" s="275"/>
      <c r="G121" s="277"/>
      <c r="H121" s="326"/>
      <c r="I121" s="11"/>
      <c r="J121" s="11"/>
    </row>
    <row r="122" spans="1:11" ht="18" hidden="1" customHeight="1">
      <c r="A122" s="274"/>
      <c r="B122" s="275"/>
      <c r="C122" s="275"/>
      <c r="D122" s="275"/>
      <c r="E122" s="275" t="s">
        <v>145</v>
      </c>
      <c r="F122" s="275" t="s">
        <v>144</v>
      </c>
      <c r="G122" s="277" t="s">
        <v>231</v>
      </c>
      <c r="H122" s="326">
        <v>335150</v>
      </c>
      <c r="I122" s="11">
        <v>330894</v>
      </c>
      <c r="J122" s="11">
        <v>340000</v>
      </c>
      <c r="K122" s="86" t="s">
        <v>405</v>
      </c>
    </row>
    <row r="123" spans="1:11" ht="18" hidden="1" customHeight="1">
      <c r="A123" s="274"/>
      <c r="B123" s="275"/>
      <c r="C123" s="275"/>
      <c r="D123" s="275"/>
      <c r="E123" s="275" t="s">
        <v>146</v>
      </c>
      <c r="F123" s="275"/>
      <c r="G123" s="277" t="s">
        <v>232</v>
      </c>
      <c r="H123" s="326">
        <v>1424336.05</v>
      </c>
      <c r="I123" s="11">
        <v>1366571.47</v>
      </c>
      <c r="J123" s="11">
        <v>1400000</v>
      </c>
      <c r="K123" s="86" t="s">
        <v>405</v>
      </c>
    </row>
    <row r="124" spans="1:11" ht="18" hidden="1" customHeight="1">
      <c r="A124" s="274"/>
      <c r="B124" s="275"/>
      <c r="C124" s="275"/>
      <c r="D124" s="275"/>
      <c r="E124" s="275" t="s">
        <v>361</v>
      </c>
      <c r="F124" s="275"/>
      <c r="G124" s="277" t="s">
        <v>232</v>
      </c>
      <c r="H124" s="326">
        <v>69310</v>
      </c>
      <c r="I124" s="11">
        <v>32865</v>
      </c>
      <c r="J124" s="11">
        <v>60000</v>
      </c>
    </row>
    <row r="125" spans="1:11" ht="18" hidden="1" customHeight="1">
      <c r="A125" s="274"/>
      <c r="B125" s="275"/>
      <c r="C125" s="275"/>
      <c r="D125" s="275"/>
      <c r="E125" s="275" t="s">
        <v>362</v>
      </c>
      <c r="F125" s="275"/>
      <c r="G125" s="277" t="s">
        <v>240</v>
      </c>
      <c r="H125" s="326">
        <v>52817</v>
      </c>
      <c r="I125" s="11">
        <v>55704</v>
      </c>
      <c r="J125" s="11">
        <v>60000</v>
      </c>
      <c r="K125" s="86" t="s">
        <v>405</v>
      </c>
    </row>
    <row r="126" spans="1:11" ht="18" hidden="1" customHeight="1">
      <c r="A126" s="274"/>
      <c r="B126" s="275"/>
      <c r="C126" s="275"/>
      <c r="D126" s="275"/>
      <c r="E126" s="275" t="s">
        <v>363</v>
      </c>
      <c r="F126" s="275"/>
      <c r="G126" s="277" t="s">
        <v>233</v>
      </c>
      <c r="H126" s="326">
        <v>199165</v>
      </c>
      <c r="I126" s="11">
        <v>110260</v>
      </c>
      <c r="J126" s="11">
        <v>200000</v>
      </c>
    </row>
    <row r="127" spans="1:11" ht="18" hidden="1" customHeight="1">
      <c r="A127" s="274"/>
      <c r="B127" s="275"/>
      <c r="C127" s="275"/>
      <c r="D127" s="275"/>
      <c r="E127" s="275" t="s">
        <v>364</v>
      </c>
      <c r="F127" s="275"/>
      <c r="G127" s="277" t="s">
        <v>240</v>
      </c>
      <c r="H127" s="326">
        <v>44520</v>
      </c>
      <c r="I127" s="11">
        <v>20580</v>
      </c>
      <c r="J127" s="11">
        <v>35000</v>
      </c>
    </row>
    <row r="128" spans="1:11" ht="18" hidden="1" customHeight="1">
      <c r="A128" s="274"/>
      <c r="B128" s="275"/>
      <c r="C128" s="275"/>
      <c r="D128" s="275" t="s">
        <v>100</v>
      </c>
      <c r="E128" s="275"/>
      <c r="F128" s="275"/>
      <c r="G128" s="277"/>
      <c r="H128" s="326"/>
      <c r="I128" s="11"/>
      <c r="J128" s="11"/>
    </row>
    <row r="129" spans="1:11" ht="18" hidden="1" customHeight="1">
      <c r="A129" s="274"/>
      <c r="B129" s="275"/>
      <c r="C129" s="275"/>
      <c r="D129" s="275"/>
      <c r="E129" s="275" t="s">
        <v>147</v>
      </c>
      <c r="F129" s="275"/>
      <c r="G129" s="277" t="s">
        <v>234</v>
      </c>
      <c r="H129" s="326">
        <v>281734</v>
      </c>
      <c r="I129" s="11">
        <v>285020</v>
      </c>
      <c r="J129" s="11">
        <v>290000</v>
      </c>
      <c r="K129" s="86" t="s">
        <v>405</v>
      </c>
    </row>
    <row r="130" spans="1:11" ht="18" hidden="1" customHeight="1">
      <c r="A130" s="274"/>
      <c r="B130" s="275"/>
      <c r="C130" s="275"/>
      <c r="D130" s="275"/>
      <c r="E130" s="275" t="s">
        <v>148</v>
      </c>
      <c r="F130" s="275"/>
      <c r="G130" s="277" t="s">
        <v>241</v>
      </c>
      <c r="H130" s="326">
        <v>789600</v>
      </c>
      <c r="I130" s="11">
        <v>370180</v>
      </c>
      <c r="J130" s="11">
        <v>700000</v>
      </c>
    </row>
    <row r="131" spans="1:11" ht="18" hidden="1" customHeight="1">
      <c r="A131" s="274"/>
      <c r="B131" s="275"/>
      <c r="C131" s="275"/>
      <c r="D131" s="275"/>
      <c r="E131" s="275" t="s">
        <v>149</v>
      </c>
      <c r="F131" s="275"/>
      <c r="G131" s="277" t="s">
        <v>241</v>
      </c>
      <c r="H131" s="326">
        <v>274675</v>
      </c>
      <c r="I131" s="11">
        <v>124270</v>
      </c>
      <c r="J131" s="11">
        <v>200000</v>
      </c>
    </row>
    <row r="132" spans="1:11" ht="18" hidden="1" customHeight="1">
      <c r="A132" s="274"/>
      <c r="B132" s="275"/>
      <c r="C132" s="275"/>
      <c r="D132" s="275"/>
      <c r="E132" s="275" t="s">
        <v>150</v>
      </c>
      <c r="F132" s="275"/>
      <c r="G132" s="277" t="s">
        <v>242</v>
      </c>
      <c r="H132" s="326">
        <v>428170</v>
      </c>
      <c r="I132" s="11">
        <v>409163</v>
      </c>
      <c r="J132" s="11">
        <v>420000</v>
      </c>
      <c r="K132" s="86" t="s">
        <v>405</v>
      </c>
    </row>
    <row r="133" spans="1:11" ht="18" hidden="1" customHeight="1">
      <c r="A133" s="274"/>
      <c r="B133" s="275"/>
      <c r="C133" s="275"/>
      <c r="D133" s="275"/>
      <c r="E133" s="275" t="s">
        <v>151</v>
      </c>
      <c r="F133" s="275"/>
      <c r="G133" s="277"/>
      <c r="H133" s="326"/>
      <c r="I133" s="11"/>
      <c r="J133" s="11"/>
    </row>
    <row r="134" spans="1:11" ht="18" hidden="1" customHeight="1">
      <c r="A134" s="274"/>
      <c r="B134" s="275"/>
      <c r="C134" s="275"/>
      <c r="D134" s="275"/>
      <c r="E134" s="275"/>
      <c r="F134" s="275" t="s">
        <v>152</v>
      </c>
      <c r="G134" s="277" t="s">
        <v>243</v>
      </c>
      <c r="H134" s="326">
        <v>3186447.5</v>
      </c>
      <c r="I134" s="11">
        <v>2276872.5</v>
      </c>
      <c r="J134" s="11">
        <v>3400000</v>
      </c>
    </row>
    <row r="135" spans="1:11" ht="18" hidden="1" customHeight="1">
      <c r="A135" s="274"/>
      <c r="B135" s="275"/>
      <c r="C135" s="275"/>
      <c r="D135" s="275"/>
      <c r="E135" s="275"/>
      <c r="F135" s="275" t="s">
        <v>153</v>
      </c>
      <c r="G135" s="277" t="s">
        <v>243</v>
      </c>
      <c r="H135" s="326">
        <v>1996480</v>
      </c>
      <c r="I135" s="11">
        <v>1055570</v>
      </c>
      <c r="J135" s="11">
        <v>1700000</v>
      </c>
    </row>
    <row r="136" spans="1:11" ht="18" hidden="1" customHeight="1">
      <c r="A136" s="274"/>
      <c r="B136" s="275"/>
      <c r="C136" s="275"/>
      <c r="D136" s="275"/>
      <c r="E136" s="275"/>
      <c r="F136" s="275" t="s">
        <v>154</v>
      </c>
      <c r="G136" s="277" t="s">
        <v>243</v>
      </c>
      <c r="H136" s="326">
        <v>2461897</v>
      </c>
      <c r="I136" s="11">
        <v>1071165</v>
      </c>
      <c r="J136" s="11">
        <v>1520000</v>
      </c>
    </row>
    <row r="137" spans="1:11" ht="18" hidden="1" customHeight="1">
      <c r="A137" s="279"/>
      <c r="B137" s="280"/>
      <c r="C137" s="280"/>
      <c r="D137" s="280"/>
      <c r="E137" s="280"/>
      <c r="F137" s="280" t="s">
        <v>155</v>
      </c>
      <c r="G137" s="282" t="s">
        <v>243</v>
      </c>
      <c r="H137" s="330">
        <v>476400</v>
      </c>
      <c r="I137" s="14">
        <v>100000</v>
      </c>
      <c r="J137" s="89">
        <v>0</v>
      </c>
    </row>
    <row r="138" spans="1:11" s="88" customFormat="1" ht="18" hidden="1" customHeight="1">
      <c r="A138" s="294"/>
      <c r="B138" s="285"/>
      <c r="C138" s="285" t="s">
        <v>5</v>
      </c>
      <c r="D138" s="285"/>
      <c r="E138" s="285"/>
      <c r="F138" s="285"/>
      <c r="G138" s="287"/>
      <c r="H138" s="328">
        <f>SUM(H122:H137)</f>
        <v>12020701.550000001</v>
      </c>
      <c r="I138" s="328">
        <f>SUM(I122:I137)</f>
        <v>7609114.9699999997</v>
      </c>
      <c r="J138" s="331">
        <f>SUM(J122:J137)</f>
        <v>10325000</v>
      </c>
    </row>
    <row r="139" spans="1:11" s="88" customFormat="1" ht="18" hidden="1" customHeight="1">
      <c r="A139" s="294" t="s">
        <v>6</v>
      </c>
      <c r="B139" s="285"/>
      <c r="C139" s="285"/>
      <c r="D139" s="285"/>
      <c r="E139" s="285"/>
      <c r="F139" s="285"/>
      <c r="G139" s="287"/>
      <c r="H139" s="328">
        <f>SUM(H138+H119+H112)</f>
        <v>12020701.550000001</v>
      </c>
      <c r="I139" s="328">
        <f>SUM(I138+I119+I112)</f>
        <v>7609114.9699999997</v>
      </c>
      <c r="J139" s="331" t="e">
        <f>SUM(J138+J119+J112)</f>
        <v>#REF!</v>
      </c>
    </row>
    <row r="140" spans="1:11" s="88" customFormat="1" ht="18" customHeight="1">
      <c r="A140" s="90"/>
      <c r="B140" s="90"/>
      <c r="C140" s="90"/>
      <c r="D140" s="90"/>
      <c r="E140" s="90"/>
      <c r="F140" s="90"/>
      <c r="G140" s="77"/>
      <c r="H140" s="356"/>
      <c r="I140" s="356"/>
      <c r="J140" s="356"/>
    </row>
    <row r="141" spans="1:11" s="88" customFormat="1" ht="18" customHeight="1">
      <c r="A141" s="90"/>
      <c r="B141" s="90"/>
      <c r="C141" s="90"/>
      <c r="D141" s="90"/>
      <c r="E141" s="90"/>
      <c r="F141" s="90"/>
      <c r="G141" s="77"/>
      <c r="H141" s="356"/>
      <c r="I141" s="356"/>
      <c r="J141" s="356"/>
    </row>
    <row r="142" spans="1:11" s="88" customFormat="1" ht="18" customHeight="1">
      <c r="A142" s="345" t="s">
        <v>545</v>
      </c>
      <c r="B142" s="346"/>
      <c r="C142" s="346"/>
      <c r="D142" s="346"/>
      <c r="E142" s="346"/>
      <c r="F142" s="299"/>
      <c r="G142" s="299"/>
      <c r="H142" s="299"/>
      <c r="I142" s="299"/>
      <c r="J142" s="299"/>
    </row>
    <row r="143" spans="1:11" s="88" customFormat="1" ht="18" customHeight="1">
      <c r="A143" s="347"/>
      <c r="B143" s="348"/>
      <c r="C143" s="348"/>
      <c r="D143" s="348"/>
      <c r="E143" s="348"/>
      <c r="F143" s="299"/>
      <c r="G143" s="299"/>
      <c r="H143" s="299"/>
      <c r="I143" s="299"/>
      <c r="J143" s="299"/>
    </row>
    <row r="144" spans="1:11" s="88" customFormat="1" ht="18" customHeight="1">
      <c r="A144" s="372" t="s">
        <v>481</v>
      </c>
      <c r="B144" s="372"/>
      <c r="C144" s="372"/>
      <c r="D144" s="372"/>
      <c r="E144" s="372"/>
      <c r="F144" s="372"/>
      <c r="G144" s="372"/>
      <c r="H144" s="372"/>
      <c r="I144" s="372"/>
      <c r="J144" s="372"/>
    </row>
    <row r="145" spans="1:10" s="88" customFormat="1" ht="18" customHeight="1">
      <c r="A145" s="349"/>
      <c r="B145" s="349"/>
      <c r="C145" s="349"/>
      <c r="D145" s="349"/>
      <c r="E145" s="349"/>
      <c r="F145" s="299"/>
      <c r="G145" s="299"/>
      <c r="H145" s="299"/>
      <c r="I145" s="299"/>
      <c r="J145" s="299"/>
    </row>
    <row r="146" spans="1:10" s="88" customFormat="1" ht="18" customHeight="1">
      <c r="A146" s="373" t="s">
        <v>546</v>
      </c>
      <c r="B146" s="373"/>
      <c r="C146" s="373"/>
      <c r="D146" s="373"/>
      <c r="E146" s="373"/>
      <c r="F146" s="350"/>
      <c r="G146" s="350" t="s">
        <v>484</v>
      </c>
      <c r="H146" s="351">
        <v>2025</v>
      </c>
      <c r="I146" s="352"/>
      <c r="J146" s="299"/>
    </row>
    <row r="147" spans="1:10" s="88" customFormat="1" ht="18" customHeight="1">
      <c r="A147" s="353" t="s">
        <v>547</v>
      </c>
      <c r="B147" s="354"/>
      <c r="C147" s="355"/>
      <c r="D147" s="355"/>
      <c r="E147" s="355"/>
      <c r="F147" s="299"/>
      <c r="G147" s="299"/>
      <c r="H147" s="299"/>
      <c r="I147" s="299"/>
      <c r="J147" s="299"/>
    </row>
    <row r="148" spans="1:10" s="88" customFormat="1" ht="18" customHeight="1">
      <c r="A148" s="353" t="s">
        <v>548</v>
      </c>
      <c r="B148" s="354"/>
      <c r="C148" s="355"/>
      <c r="D148" s="355"/>
      <c r="E148" s="355"/>
      <c r="F148" s="86"/>
      <c r="G148" s="86"/>
      <c r="H148" s="86"/>
      <c r="I148" s="86"/>
      <c r="J148" s="257"/>
    </row>
    <row r="149" spans="1:10" s="88" customFormat="1" ht="18" customHeight="1" thickBot="1">
      <c r="A149" s="369" t="s">
        <v>543</v>
      </c>
      <c r="B149" s="369"/>
      <c r="C149" s="369"/>
      <c r="D149" s="369"/>
      <c r="E149" s="369"/>
      <c r="F149" s="369"/>
      <c r="G149" s="369"/>
      <c r="H149" s="369"/>
      <c r="I149" s="369"/>
      <c r="J149" s="369"/>
    </row>
    <row r="150" spans="1:10" s="88" customFormat="1" ht="18" customHeight="1">
      <c r="A150" s="259"/>
      <c r="B150" s="260"/>
      <c r="C150" s="260"/>
      <c r="D150" s="260"/>
      <c r="E150" s="260"/>
      <c r="F150" s="260"/>
      <c r="G150" s="261"/>
      <c r="H150" s="261"/>
      <c r="I150" s="261"/>
      <c r="J150" s="262"/>
    </row>
    <row r="151" spans="1:10" s="88" customFormat="1" ht="18" customHeight="1">
      <c r="A151" s="370" t="s">
        <v>1</v>
      </c>
      <c r="B151" s="371"/>
      <c r="C151" s="371"/>
      <c r="D151" s="371"/>
      <c r="E151" s="371"/>
      <c r="F151" s="383"/>
      <c r="G151" s="263" t="s">
        <v>0</v>
      </c>
      <c r="H151" s="263" t="s">
        <v>3</v>
      </c>
      <c r="I151" s="263" t="s">
        <v>188</v>
      </c>
      <c r="J151" s="362" t="s">
        <v>4</v>
      </c>
    </row>
    <row r="152" spans="1:10" s="88" customFormat="1" ht="18" customHeight="1">
      <c r="A152" s="265"/>
      <c r="B152" s="87"/>
      <c r="C152" s="87"/>
      <c r="D152" s="87"/>
      <c r="E152" s="87"/>
      <c r="F152" s="87"/>
      <c r="G152" s="263" t="s">
        <v>2</v>
      </c>
      <c r="H152" s="266">
        <v>2023</v>
      </c>
      <c r="I152" s="263">
        <v>2024</v>
      </c>
      <c r="J152" s="267">
        <v>2025</v>
      </c>
    </row>
    <row r="153" spans="1:10" s="88" customFormat="1" ht="18" customHeight="1">
      <c r="A153" s="265"/>
      <c r="B153" s="87"/>
      <c r="C153" s="87"/>
      <c r="D153" s="87"/>
      <c r="E153" s="87"/>
      <c r="F153" s="87"/>
      <c r="G153" s="263"/>
      <c r="H153" s="263" t="s">
        <v>136</v>
      </c>
      <c r="I153" s="263" t="s">
        <v>136</v>
      </c>
      <c r="J153" s="264" t="s">
        <v>140</v>
      </c>
    </row>
    <row r="154" spans="1:10" s="88" customFormat="1" ht="18" customHeight="1" thickBot="1">
      <c r="A154" s="374"/>
      <c r="B154" s="375"/>
      <c r="C154" s="375"/>
      <c r="D154" s="375"/>
      <c r="E154" s="375"/>
      <c r="F154" s="382"/>
      <c r="G154" s="268"/>
      <c r="H154" s="268"/>
      <c r="I154" s="268"/>
      <c r="J154" s="269"/>
    </row>
    <row r="155" spans="1:10" ht="18" customHeight="1">
      <c r="A155" s="288" t="s">
        <v>562</v>
      </c>
      <c r="B155" s="289"/>
      <c r="C155" s="289"/>
      <c r="D155" s="289"/>
      <c r="E155" s="289"/>
      <c r="F155" s="289"/>
      <c r="G155" s="291"/>
      <c r="H155" s="329"/>
      <c r="I155" s="13"/>
      <c r="J155" s="13"/>
    </row>
    <row r="156" spans="1:10" ht="18" customHeight="1">
      <c r="A156" s="292"/>
      <c r="B156" s="293" t="s">
        <v>563</v>
      </c>
      <c r="C156" s="293"/>
      <c r="D156" s="293"/>
      <c r="E156" s="293"/>
      <c r="F156" s="293"/>
      <c r="G156" s="277"/>
      <c r="H156" s="326"/>
      <c r="I156" s="11"/>
      <c r="J156" s="11"/>
    </row>
    <row r="157" spans="1:10" ht="18" customHeight="1">
      <c r="A157" s="274"/>
      <c r="B157" s="275"/>
      <c r="C157" s="275" t="s">
        <v>102</v>
      </c>
      <c r="D157" s="275"/>
      <c r="E157" s="275"/>
      <c r="F157" s="275"/>
      <c r="G157" s="277"/>
      <c r="H157" s="326"/>
      <c r="I157" s="11"/>
      <c r="J157" s="11"/>
    </row>
    <row r="158" spans="1:10" ht="18" customHeight="1">
      <c r="A158" s="274"/>
      <c r="B158" s="275"/>
      <c r="C158" s="275"/>
      <c r="D158" s="275" t="s">
        <v>103</v>
      </c>
      <c r="E158" s="275"/>
      <c r="F158" s="275"/>
      <c r="G158" s="277" t="s">
        <v>196</v>
      </c>
      <c r="H158" s="326">
        <f>'FORM1a-ABR Office'!I1108</f>
        <v>3851850.44</v>
      </c>
      <c r="I158" s="326">
        <v>3826490.83</v>
      </c>
      <c r="J158" s="326">
        <f>'FORM1a-ABR Office'!M1108</f>
        <v>4572259</v>
      </c>
    </row>
    <row r="159" spans="1:10" ht="18" customHeight="1">
      <c r="A159" s="274"/>
      <c r="B159" s="275"/>
      <c r="C159" s="275"/>
      <c r="D159" s="275" t="s">
        <v>90</v>
      </c>
      <c r="E159" s="275"/>
      <c r="F159" s="275"/>
      <c r="G159" s="277" t="s">
        <v>235</v>
      </c>
      <c r="H159" s="64">
        <f>'[1]LBP NO. 2'!I1148</f>
        <v>0</v>
      </c>
      <c r="I159" s="64">
        <f>'[1]LBP NO. 2'!J1148</f>
        <v>0</v>
      </c>
      <c r="J159" s="64">
        <f>'[1]LBP NO. 2'!M1148</f>
        <v>0</v>
      </c>
    </row>
    <row r="160" spans="1:10" ht="18" customHeight="1">
      <c r="A160" s="274"/>
      <c r="B160" s="275"/>
      <c r="C160" s="275" t="s">
        <v>104</v>
      </c>
      <c r="D160" s="275"/>
      <c r="E160" s="275"/>
      <c r="F160" s="275"/>
      <c r="G160" s="277"/>
      <c r="H160" s="326"/>
      <c r="I160" s="11"/>
      <c r="J160" s="11"/>
    </row>
    <row r="161" spans="1:10" ht="18" customHeight="1">
      <c r="A161" s="274"/>
      <c r="B161" s="275"/>
      <c r="C161" s="275"/>
      <c r="D161" s="275" t="s">
        <v>105</v>
      </c>
      <c r="E161" s="275"/>
      <c r="F161" s="275"/>
      <c r="G161" s="277" t="s">
        <v>197</v>
      </c>
      <c r="H161" s="326">
        <f>'FORM1a-ABR Office'!I1111</f>
        <v>529000</v>
      </c>
      <c r="I161" s="326">
        <v>523454.55</v>
      </c>
      <c r="J161" s="326">
        <f>'FORM1a-ABR Office'!M1111</f>
        <v>576000</v>
      </c>
    </row>
    <row r="162" spans="1:10" ht="18" customHeight="1">
      <c r="A162" s="274"/>
      <c r="B162" s="275"/>
      <c r="C162" s="275"/>
      <c r="D162" s="275" t="s">
        <v>108</v>
      </c>
      <c r="E162" s="275"/>
      <c r="F162" s="275"/>
      <c r="G162" s="277" t="s">
        <v>200</v>
      </c>
      <c r="H162" s="326">
        <f>'FORM1a-ABR Office'!I1112</f>
        <v>132000</v>
      </c>
      <c r="I162" s="326">
        <f>'FORM1a-ABR Office'!J1112</f>
        <v>154000</v>
      </c>
      <c r="J162" s="326">
        <f>'FORM1a-ABR Office'!M1112</f>
        <v>168000</v>
      </c>
    </row>
    <row r="163" spans="1:10" ht="18" customHeight="1">
      <c r="A163" s="274"/>
      <c r="B163" s="275"/>
      <c r="C163" s="275"/>
      <c r="D163" s="275" t="s">
        <v>109</v>
      </c>
      <c r="E163" s="275"/>
      <c r="F163" s="275"/>
      <c r="G163" s="277" t="s">
        <v>217</v>
      </c>
      <c r="H163" s="64">
        <f>'FORM1a-ABR Office'!I1113</f>
        <v>17850</v>
      </c>
      <c r="I163" s="64">
        <v>17925</v>
      </c>
      <c r="J163" s="64">
        <f>'FORM1a-ABR Office'!M1113</f>
        <v>19800</v>
      </c>
    </row>
    <row r="164" spans="1:10" ht="18" customHeight="1">
      <c r="A164" s="274"/>
      <c r="B164" s="275"/>
      <c r="C164" s="275"/>
      <c r="D164" s="275" t="s">
        <v>532</v>
      </c>
      <c r="E164" s="275"/>
      <c r="F164" s="275"/>
      <c r="G164" s="277" t="s">
        <v>201</v>
      </c>
      <c r="H164" s="326">
        <f>'FORM1a-ABR Office'!I1114</f>
        <v>115000</v>
      </c>
      <c r="I164" s="326">
        <v>106000</v>
      </c>
      <c r="J164" s="326">
        <f>'FORM1a-ABR Office'!M1114</f>
        <v>120000</v>
      </c>
    </row>
    <row r="165" spans="1:10" ht="18" customHeight="1">
      <c r="A165" s="274"/>
      <c r="B165" s="275"/>
      <c r="C165" s="275"/>
      <c r="D165" s="275" t="s">
        <v>110</v>
      </c>
      <c r="E165" s="275"/>
      <c r="F165" s="275"/>
      <c r="G165" s="277" t="s">
        <v>202</v>
      </c>
      <c r="H165" s="326">
        <f>'FORM1a-ABR Office'!I1115</f>
        <v>0</v>
      </c>
      <c r="I165" s="326">
        <v>20000</v>
      </c>
      <c r="J165" s="326">
        <f>'FORM1a-ABR Office'!M1115</f>
        <v>15000</v>
      </c>
    </row>
    <row r="166" spans="1:10" ht="18" customHeight="1">
      <c r="A166" s="274"/>
      <c r="B166" s="275"/>
      <c r="C166" s="275"/>
      <c r="D166" s="275" t="s">
        <v>421</v>
      </c>
      <c r="E166" s="275"/>
      <c r="F166" s="275"/>
      <c r="G166" s="277" t="str">
        <f>'[1]LBP NO. 2'!H1155</f>
        <v>5-01-02-990</v>
      </c>
      <c r="H166" s="326">
        <f>'FORM1a-ABR Office'!I1117</f>
        <v>0</v>
      </c>
      <c r="I166" s="326">
        <f>'FORM1a-ABR Office'!J1117</f>
        <v>0</v>
      </c>
      <c r="J166" s="326">
        <f>'FORM1a-ABR Office'!M1117</f>
        <v>168000</v>
      </c>
    </row>
    <row r="167" spans="1:10" ht="18" customHeight="1">
      <c r="A167" s="274"/>
      <c r="B167" s="275"/>
      <c r="C167" s="275"/>
      <c r="D167" s="275" t="s">
        <v>111</v>
      </c>
      <c r="E167" s="275"/>
      <c r="F167" s="275"/>
      <c r="G167" s="277" t="s">
        <v>218</v>
      </c>
      <c r="H167" s="64">
        <f>'[1]LBP NO. 2'!I1157</f>
        <v>3556</v>
      </c>
      <c r="I167" s="64">
        <v>3556</v>
      </c>
      <c r="J167" s="64">
        <f>'[1]LBP NO. 2'!M1157</f>
        <v>21336</v>
      </c>
    </row>
    <row r="168" spans="1:10" ht="18" customHeight="1">
      <c r="A168" s="274"/>
      <c r="B168" s="275"/>
      <c r="C168" s="275"/>
      <c r="D168" s="275" t="s">
        <v>52</v>
      </c>
      <c r="E168" s="275"/>
      <c r="F168" s="275"/>
      <c r="G168" s="277" t="s">
        <v>219</v>
      </c>
      <c r="H168" s="326">
        <f>'FORM1a-ABR Office'!I1119</f>
        <v>67962.87</v>
      </c>
      <c r="I168" s="326">
        <v>70608.399999999994</v>
      </c>
      <c r="J168" s="326">
        <f>'FORM1a-ABR Office'!M1119</f>
        <v>100000</v>
      </c>
    </row>
    <row r="169" spans="1:10" ht="18" customHeight="1">
      <c r="A169" s="274"/>
      <c r="B169" s="275"/>
      <c r="C169" s="275"/>
      <c r="D169" s="275" t="s">
        <v>112</v>
      </c>
      <c r="E169" s="275"/>
      <c r="F169" s="275"/>
      <c r="G169" s="277" t="s">
        <v>203</v>
      </c>
      <c r="H169" s="326">
        <f>'FORM1a-ABR Office'!I1120</f>
        <v>115000</v>
      </c>
      <c r="I169" s="326">
        <v>105000</v>
      </c>
      <c r="J169" s="326">
        <f>'FORM1a-ABR Office'!M1120</f>
        <v>120000</v>
      </c>
    </row>
    <row r="170" spans="1:10" ht="18" customHeight="1">
      <c r="A170" s="274"/>
      <c r="B170" s="275"/>
      <c r="C170" s="275"/>
      <c r="D170" s="275" t="s">
        <v>533</v>
      </c>
      <c r="E170" s="275"/>
      <c r="F170" s="275"/>
      <c r="G170" s="277" t="s">
        <v>202</v>
      </c>
      <c r="H170" s="326">
        <f>'FORM1a-ABR Office'!I1121</f>
        <v>317484</v>
      </c>
      <c r="I170" s="326">
        <v>316600</v>
      </c>
      <c r="J170" s="326">
        <f>'FORM1a-ABR Office'!M1121</f>
        <v>375826</v>
      </c>
    </row>
    <row r="171" spans="1:10" ht="18" customHeight="1">
      <c r="A171" s="274"/>
      <c r="B171" s="275"/>
      <c r="C171" s="275"/>
      <c r="D171" s="275" t="s">
        <v>113</v>
      </c>
      <c r="E171" s="275"/>
      <c r="F171" s="275"/>
      <c r="G171" s="277" t="s">
        <v>204</v>
      </c>
      <c r="H171" s="326">
        <f>'FORM1a-ABR Office'!I1122</f>
        <v>328627</v>
      </c>
      <c r="I171" s="326">
        <v>316962</v>
      </c>
      <c r="J171" s="326">
        <f>'FORM1a-ABR Office'!M1122</f>
        <v>391370</v>
      </c>
    </row>
    <row r="172" spans="1:10" ht="18" customHeight="1">
      <c r="A172" s="274"/>
      <c r="B172" s="275"/>
      <c r="C172" s="275"/>
      <c r="D172" s="275" t="s">
        <v>190</v>
      </c>
      <c r="E172" s="275"/>
      <c r="F172" s="275"/>
      <c r="G172" s="277" t="s">
        <v>205</v>
      </c>
      <c r="H172" s="326">
        <f>'FORM1a-ABR Office'!I1123</f>
        <v>434655.48</v>
      </c>
      <c r="I172" s="326">
        <v>437130.07</v>
      </c>
      <c r="J172" s="326">
        <f>'FORM1a-ABR Office'!M1123</f>
        <v>550000</v>
      </c>
    </row>
    <row r="173" spans="1:10" ht="18" customHeight="1">
      <c r="A173" s="274"/>
      <c r="B173" s="275"/>
      <c r="C173" s="275"/>
      <c r="D173" s="275" t="s">
        <v>114</v>
      </c>
      <c r="E173" s="275"/>
      <c r="F173" s="275"/>
      <c r="G173" s="277" t="s">
        <v>206</v>
      </c>
      <c r="H173" s="326">
        <f>'FORM1a-ABR Office'!I1124</f>
        <v>25700</v>
      </c>
      <c r="I173" s="326">
        <v>48700</v>
      </c>
      <c r="J173" s="326">
        <f>'FORM1a-ABR Office'!M1124</f>
        <v>43200</v>
      </c>
    </row>
    <row r="174" spans="1:10" ht="18" customHeight="1">
      <c r="A174" s="274"/>
      <c r="B174" s="275"/>
      <c r="C174" s="275"/>
      <c r="D174" s="275" t="s">
        <v>115</v>
      </c>
      <c r="E174" s="275"/>
      <c r="F174" s="275"/>
      <c r="G174" s="277" t="s">
        <v>207</v>
      </c>
      <c r="H174" s="326">
        <f>'FORM1a-ABR Office'!I1125</f>
        <v>71083.600000000006</v>
      </c>
      <c r="I174" s="326">
        <v>93678.07</v>
      </c>
      <c r="J174" s="326">
        <f>'FORM1a-ABR Office'!M1125</f>
        <v>115000</v>
      </c>
    </row>
    <row r="175" spans="1:10" ht="18" customHeight="1">
      <c r="A175" s="274"/>
      <c r="B175" s="275"/>
      <c r="C175" s="275"/>
      <c r="D175" s="275" t="s">
        <v>189</v>
      </c>
      <c r="E175" s="275"/>
      <c r="F175" s="275"/>
      <c r="G175" s="277" t="s">
        <v>208</v>
      </c>
      <c r="H175" s="326">
        <f>'FORM1a-ABR Office'!I1126</f>
        <v>24700</v>
      </c>
      <c r="I175" s="326">
        <v>24500</v>
      </c>
      <c r="J175" s="326">
        <f>'FORM1a-ABR Office'!M1126</f>
        <v>28800</v>
      </c>
    </row>
    <row r="176" spans="1:10" ht="18" customHeight="1">
      <c r="A176" s="274"/>
      <c r="B176" s="275"/>
      <c r="C176" s="275"/>
      <c r="D176" s="275" t="s">
        <v>54</v>
      </c>
      <c r="E176" s="275"/>
      <c r="F176" s="275"/>
      <c r="G176" s="277" t="s">
        <v>209</v>
      </c>
      <c r="H176" s="326">
        <f>'FORM1a-ABR Office'!I1127</f>
        <v>87316.36</v>
      </c>
      <c r="I176" s="326">
        <v>165762.20000000001</v>
      </c>
      <c r="J176" s="326">
        <f>'FORM1a-ABR Office'!M1127</f>
        <v>100000</v>
      </c>
    </row>
    <row r="177" spans="1:10" ht="18" customHeight="1">
      <c r="A177" s="274"/>
      <c r="B177" s="275"/>
      <c r="C177" s="275"/>
      <c r="D177" s="280" t="s">
        <v>117</v>
      </c>
      <c r="E177" s="280"/>
      <c r="F177" s="280"/>
      <c r="G177" s="282" t="s">
        <v>220</v>
      </c>
      <c r="H177" s="326">
        <f>'FORM1a-ABR Office'!I1128</f>
        <v>0</v>
      </c>
      <c r="I177" s="326">
        <v>299872.98</v>
      </c>
      <c r="J177" s="326">
        <f>'FORM1a-ABR Office'!M1128</f>
        <v>0</v>
      </c>
    </row>
    <row r="178" spans="1:10" ht="18" customHeight="1">
      <c r="A178" s="274"/>
      <c r="B178" s="275"/>
      <c r="C178" s="275"/>
      <c r="D178" s="280" t="s">
        <v>561</v>
      </c>
      <c r="E178" s="280"/>
      <c r="F178" s="280"/>
      <c r="G178" s="282"/>
      <c r="H178" s="326"/>
      <c r="I178" s="326">
        <v>205498.15</v>
      </c>
      <c r="J178" s="326">
        <f>'FORM1a-ABR Office'!M1129</f>
        <v>1488000</v>
      </c>
    </row>
    <row r="179" spans="1:10" ht="18" customHeight="1">
      <c r="A179" s="274"/>
      <c r="B179" s="275"/>
      <c r="C179" s="275"/>
      <c r="D179" s="280" t="s">
        <v>343</v>
      </c>
      <c r="E179" s="280"/>
      <c r="F179" s="280"/>
      <c r="G179" s="282" t="s">
        <v>220</v>
      </c>
      <c r="H179" s="326">
        <f>'FORM1a-ABR Office'!I1129</f>
        <v>0</v>
      </c>
      <c r="I179" s="326">
        <v>422000</v>
      </c>
    </row>
    <row r="180" spans="1:10" ht="18" customHeight="1" thickBot="1">
      <c r="A180" s="279"/>
      <c r="B180" s="280"/>
      <c r="C180" s="309"/>
      <c r="D180" s="309" t="s">
        <v>536</v>
      </c>
      <c r="E180" s="309"/>
      <c r="F180" s="309"/>
      <c r="G180" s="310" t="s">
        <v>220</v>
      </c>
      <c r="H180" s="311">
        <f>'FORM1a-ABR Office'!I1131</f>
        <v>702500</v>
      </c>
      <c r="I180" s="311">
        <v>635000</v>
      </c>
      <c r="J180" s="311">
        <f>'FORM1a-ABR Office'!M1131</f>
        <v>0</v>
      </c>
    </row>
    <row r="181" spans="1:10" s="88" customFormat="1" ht="18" customHeight="1" thickBot="1">
      <c r="A181" s="294"/>
      <c r="B181" s="285"/>
      <c r="C181" s="285"/>
      <c r="D181" s="285" t="s">
        <v>53</v>
      </c>
      <c r="E181" s="285"/>
      <c r="F181" s="285"/>
      <c r="G181" s="287"/>
      <c r="H181" s="328">
        <f>SUM(H158:H180)</f>
        <v>6824285.7499999991</v>
      </c>
      <c r="I181" s="328">
        <f>SUM(I158:I180)</f>
        <v>7792738.2500000019</v>
      </c>
      <c r="J181" s="328">
        <f>SUM(J158:J180)</f>
        <v>8972591</v>
      </c>
    </row>
    <row r="182" spans="1:10" ht="18" customHeight="1">
      <c r="A182" s="296"/>
      <c r="B182" s="332" t="s">
        <v>564</v>
      </c>
      <c r="C182" s="333"/>
      <c r="D182" s="333"/>
      <c r="E182" s="333"/>
      <c r="F182" s="333"/>
      <c r="G182" s="291"/>
      <c r="H182" s="329"/>
      <c r="I182" s="13"/>
      <c r="J182" s="13"/>
    </row>
    <row r="183" spans="1:10" ht="18" customHeight="1">
      <c r="A183" s="274"/>
      <c r="B183" s="275"/>
      <c r="C183" s="275"/>
      <c r="D183" s="275" t="s">
        <v>119</v>
      </c>
      <c r="E183" s="275"/>
      <c r="F183" s="275"/>
      <c r="G183" s="277" t="s">
        <v>210</v>
      </c>
      <c r="H183" s="326">
        <f>'FORM1a-ABR Office'!I1134</f>
        <v>27750</v>
      </c>
      <c r="I183" s="326">
        <v>41870</v>
      </c>
      <c r="J183" s="326">
        <f>'FORM1a-ABR Office'!M1134</f>
        <v>50000</v>
      </c>
    </row>
    <row r="184" spans="1:10" ht="18" customHeight="1">
      <c r="A184" s="274"/>
      <c r="B184" s="275"/>
      <c r="C184" s="275"/>
      <c r="D184" s="275" t="s">
        <v>91</v>
      </c>
      <c r="E184" s="275"/>
      <c r="F184" s="275"/>
      <c r="G184" s="277" t="s">
        <v>211</v>
      </c>
      <c r="H184" s="326">
        <f>'FORM1a-ABR Office'!I1135</f>
        <v>38382.33</v>
      </c>
      <c r="I184" s="326">
        <v>0</v>
      </c>
      <c r="J184" s="326">
        <f>'FORM1a-ABR Office'!M1135</f>
        <v>50000</v>
      </c>
    </row>
    <row r="185" spans="1:10" ht="18" customHeight="1">
      <c r="A185" s="274"/>
      <c r="B185" s="275"/>
      <c r="C185" s="275"/>
      <c r="D185" s="275" t="s">
        <v>58</v>
      </c>
      <c r="E185" s="275"/>
      <c r="F185" s="275"/>
      <c r="G185" s="277" t="s">
        <v>212</v>
      </c>
      <c r="H185" s="326">
        <f>'FORM1a-ABR Office'!I1136</f>
        <v>374159</v>
      </c>
      <c r="I185" s="326">
        <v>418484.85</v>
      </c>
      <c r="J185" s="326">
        <f>'FORM1a-ABR Office'!M1136</f>
        <v>550000</v>
      </c>
    </row>
    <row r="186" spans="1:10" ht="18" hidden="1" customHeight="1">
      <c r="A186" s="274"/>
      <c r="B186" s="275"/>
      <c r="C186" s="275"/>
      <c r="D186" s="275" t="s">
        <v>57</v>
      </c>
      <c r="E186" s="275"/>
      <c r="F186" s="275"/>
      <c r="G186" s="277" t="s">
        <v>236</v>
      </c>
      <c r="H186" s="326">
        <f>'FORM1a-ABR Office'!I1137</f>
        <v>0</v>
      </c>
      <c r="I186" s="326">
        <f>'FORM1a-ABR Office'!J1137</f>
        <v>0</v>
      </c>
      <c r="J186" s="326">
        <f>'FORM1a-ABR Office'!M1137</f>
        <v>0</v>
      </c>
    </row>
    <row r="187" spans="1:10" ht="18" customHeight="1">
      <c r="A187" s="274"/>
      <c r="B187" s="275"/>
      <c r="C187" s="275"/>
      <c r="D187" s="275" t="s">
        <v>125</v>
      </c>
      <c r="E187" s="275"/>
      <c r="F187" s="275"/>
      <c r="G187" s="277" t="s">
        <v>214</v>
      </c>
      <c r="H187" s="326">
        <f>'FORM1a-ABR Office'!I1138</f>
        <v>12000</v>
      </c>
      <c r="I187" s="326">
        <v>12000</v>
      </c>
      <c r="J187" s="326">
        <f>'FORM1a-ABR Office'!M1138</f>
        <v>12000</v>
      </c>
    </row>
    <row r="188" spans="1:10" ht="18" hidden="1" customHeight="1">
      <c r="A188" s="274"/>
      <c r="B188" s="275"/>
      <c r="C188" s="275"/>
      <c r="D188" s="275" t="s">
        <v>56</v>
      </c>
      <c r="E188" s="275"/>
      <c r="F188" s="275"/>
      <c r="G188" s="277" t="s">
        <v>237</v>
      </c>
      <c r="H188" s="326">
        <f>'[1]LBP NO. 2'!I1178</f>
        <v>0</v>
      </c>
      <c r="I188" s="326">
        <f>'[1]LBP NO. 2'!J1178</f>
        <v>0</v>
      </c>
      <c r="J188" s="326">
        <f>'[1]LBP NO. 2'!M1178</f>
        <v>0</v>
      </c>
    </row>
    <row r="189" spans="1:10" ht="18" customHeight="1">
      <c r="A189" s="274"/>
      <c r="B189" s="275"/>
      <c r="C189" s="275"/>
      <c r="D189" s="275" t="s">
        <v>309</v>
      </c>
      <c r="E189" s="275"/>
      <c r="F189" s="275"/>
      <c r="G189" s="277" t="s">
        <v>215</v>
      </c>
      <c r="H189" s="326">
        <f>'FORM1a-ABR Office'!I1141</f>
        <v>2400</v>
      </c>
      <c r="I189" s="326">
        <f>'FORM1a-ABR Office'!J1141</f>
        <v>47999</v>
      </c>
      <c r="J189" s="326">
        <f>'FORM1a-ABR Office'!M1141</f>
        <v>50000</v>
      </c>
    </row>
    <row r="190" spans="1:10" ht="18" customHeight="1">
      <c r="A190" s="274"/>
      <c r="B190" s="275"/>
      <c r="C190" s="275"/>
      <c r="D190" s="275" t="s">
        <v>320</v>
      </c>
      <c r="E190" s="275"/>
      <c r="F190" s="275"/>
      <c r="G190" s="277" t="s">
        <v>321</v>
      </c>
      <c r="H190" s="326">
        <f>'FORM1a-ABR Office'!I1140</f>
        <v>184112.13</v>
      </c>
      <c r="I190" s="326">
        <v>266560.98</v>
      </c>
      <c r="J190" s="326">
        <f>'FORM1a-ABR Office'!M1140</f>
        <v>300000</v>
      </c>
    </row>
    <row r="191" spans="1:10" ht="18" customHeight="1" thickBot="1">
      <c r="A191" s="274"/>
      <c r="B191" s="275"/>
      <c r="C191" s="275"/>
      <c r="D191" s="275" t="s">
        <v>55</v>
      </c>
      <c r="E191" s="275"/>
      <c r="F191" s="275"/>
      <c r="G191" s="277" t="s">
        <v>238</v>
      </c>
      <c r="H191" s="326">
        <f>'FORM1a-ABR Office'!I1142</f>
        <v>259235.24</v>
      </c>
      <c r="I191" s="326">
        <f>'FORM1a-ABR Office'!J1142</f>
        <v>270000</v>
      </c>
      <c r="J191" s="326">
        <f>'FORM1a-ABR Office'!M1142</f>
        <v>270000</v>
      </c>
    </row>
    <row r="192" spans="1:10" ht="18" hidden="1" customHeight="1" thickBot="1">
      <c r="A192" s="279"/>
      <c r="B192" s="280"/>
      <c r="C192" s="280"/>
      <c r="D192" s="280" t="s">
        <v>131</v>
      </c>
      <c r="E192" s="280"/>
      <c r="F192" s="280"/>
      <c r="G192" s="282" t="s">
        <v>216</v>
      </c>
      <c r="H192" s="330">
        <f>'[1]LBP NO. 2'!I1183</f>
        <v>0</v>
      </c>
      <c r="I192" s="330">
        <f>'[1]LBP NO. 2'!J1183</f>
        <v>0</v>
      </c>
      <c r="J192" s="330">
        <f>'[1]LBP NO. 2'!M1183</f>
        <v>0</v>
      </c>
    </row>
    <row r="193" spans="1:10" s="88" customFormat="1" ht="18" customHeight="1" thickBot="1">
      <c r="A193" s="284"/>
      <c r="B193" s="285"/>
      <c r="C193" s="285"/>
      <c r="D193" s="285" t="s">
        <v>244</v>
      </c>
      <c r="E193" s="285"/>
      <c r="F193" s="285"/>
      <c r="G193" s="287"/>
      <c r="H193" s="328">
        <f>SUM(H183:H192)</f>
        <v>898038.7</v>
      </c>
      <c r="I193" s="328">
        <f>SUM(I183:I192)</f>
        <v>1056914.83</v>
      </c>
      <c r="J193" s="328">
        <f>SUM(J183:J192)</f>
        <v>1282000</v>
      </c>
    </row>
    <row r="194" spans="1:10" s="88" customFormat="1" ht="18" customHeight="1">
      <c r="A194" s="288"/>
      <c r="B194" s="289"/>
      <c r="C194" s="289"/>
      <c r="D194" s="289"/>
      <c r="E194" s="289"/>
      <c r="F194" s="289"/>
      <c r="G194" s="111"/>
      <c r="H194" s="334"/>
      <c r="I194" s="334"/>
      <c r="J194" s="334"/>
    </row>
    <row r="195" spans="1:10" ht="18" customHeight="1">
      <c r="A195" s="274"/>
      <c r="B195" s="359" t="s">
        <v>565</v>
      </c>
      <c r="C195" s="359"/>
      <c r="D195" s="359"/>
      <c r="E195" s="359"/>
      <c r="F195" s="359"/>
      <c r="G195" s="277"/>
      <c r="H195" s="326"/>
      <c r="I195" s="11"/>
      <c r="J195" s="11"/>
    </row>
    <row r="196" spans="1:10" ht="18" customHeight="1">
      <c r="A196" s="274"/>
      <c r="B196" s="293"/>
      <c r="C196" s="293"/>
      <c r="D196" s="275" t="s">
        <v>195</v>
      </c>
      <c r="E196" s="293"/>
      <c r="F196" s="293"/>
      <c r="G196" s="277" t="s">
        <v>286</v>
      </c>
      <c r="H196" s="326">
        <f>'FORM1a-ABR Office'!I1147</f>
        <v>0</v>
      </c>
      <c r="I196" s="326">
        <f>'FORM1a-ABR Office'!J1147</f>
        <v>0</v>
      </c>
      <c r="J196" s="326">
        <f>'FORM1a-ABR Office'!M1147</f>
        <v>0</v>
      </c>
    </row>
    <row r="197" spans="1:10" ht="18" customHeight="1">
      <c r="A197" s="274"/>
      <c r="B197" s="293"/>
      <c r="C197" s="293"/>
      <c r="D197" s="127" t="s">
        <v>476</v>
      </c>
      <c r="E197" s="127"/>
      <c r="F197" s="128"/>
      <c r="G197" s="130" t="s">
        <v>348</v>
      </c>
      <c r="H197" s="326">
        <f>'FORM1a-ABR Office'!I1148</f>
        <v>0</v>
      </c>
      <c r="I197" s="326">
        <f>'FORM1a-ABR Office'!J1148</f>
        <v>0</v>
      </c>
      <c r="J197" s="326">
        <f>'FORM1a-ABR Office'!M1148</f>
        <v>70000</v>
      </c>
    </row>
    <row r="198" spans="1:10" ht="18" customHeight="1" thickBot="1">
      <c r="A198" s="274"/>
      <c r="B198" s="293"/>
      <c r="C198" s="293"/>
      <c r="D198" s="275" t="s">
        <v>544</v>
      </c>
      <c r="E198" s="275"/>
      <c r="F198" s="335"/>
      <c r="G198" s="277" t="s">
        <v>325</v>
      </c>
      <c r="H198" s="326">
        <f>'[1]LBP NO. 2'!I1188</f>
        <v>0</v>
      </c>
      <c r="I198" s="326">
        <f>'[1]LBP NO. 2'!J1188</f>
        <v>0</v>
      </c>
      <c r="J198" s="326">
        <f>'[1]LBP NO. 2'!M1188</f>
        <v>0</v>
      </c>
    </row>
    <row r="199" spans="1:10" ht="18" hidden="1" customHeight="1" thickBot="1">
      <c r="A199" s="274"/>
      <c r="B199" s="293"/>
      <c r="C199" s="293"/>
      <c r="D199" s="275" t="s">
        <v>349</v>
      </c>
      <c r="E199" s="275"/>
      <c r="F199" s="335"/>
      <c r="G199" s="277" t="s">
        <v>294</v>
      </c>
      <c r="H199" s="326">
        <f>'[1]LBP NO. 2'!I1189</f>
        <v>0</v>
      </c>
      <c r="I199" s="326">
        <f>'[1]LBP NO. 2'!J1189</f>
        <v>0</v>
      </c>
      <c r="J199" s="326">
        <f>'[1]LBP NO. 2'!M1189</f>
        <v>0</v>
      </c>
    </row>
    <row r="200" spans="1:10" ht="18" hidden="1" customHeight="1" thickBot="1">
      <c r="A200" s="274"/>
      <c r="B200" s="293"/>
      <c r="C200" s="293"/>
      <c r="D200" s="275" t="s">
        <v>350</v>
      </c>
      <c r="E200" s="275"/>
      <c r="F200" s="335"/>
      <c r="G200" s="277" t="s">
        <v>351</v>
      </c>
      <c r="H200" s="326">
        <f>'[1]LBP NO. 2'!I1190</f>
        <v>0</v>
      </c>
      <c r="I200" s="326">
        <f>'[1]LBP NO. 2'!J1190</f>
        <v>0</v>
      </c>
      <c r="J200" s="326">
        <f>'[1]LBP NO. 2'!M1190</f>
        <v>0</v>
      </c>
    </row>
    <row r="201" spans="1:10" s="88" customFormat="1" ht="18" customHeight="1" thickBot="1">
      <c r="A201" s="284"/>
      <c r="B201" s="285"/>
      <c r="C201" s="285"/>
      <c r="D201" s="285" t="s">
        <v>538</v>
      </c>
      <c r="E201" s="285"/>
      <c r="F201" s="285"/>
      <c r="G201" s="286"/>
      <c r="H201" s="328">
        <f>SUM(H196:H200)</f>
        <v>0</v>
      </c>
      <c r="I201" s="328">
        <f t="shared" ref="I201:J201" si="1">SUM(I196:I200)</f>
        <v>0</v>
      </c>
      <c r="J201" s="328">
        <f t="shared" si="1"/>
        <v>70000</v>
      </c>
    </row>
    <row r="202" spans="1:10" s="88" customFormat="1" ht="18" hidden="1" customHeight="1" thickBot="1">
      <c r="A202" s="288"/>
      <c r="B202" s="289"/>
      <c r="C202" s="289"/>
      <c r="D202" s="289"/>
      <c r="E202" s="289"/>
      <c r="F202" s="289"/>
      <c r="G202" s="290"/>
      <c r="H202" s="334"/>
      <c r="I202" s="334"/>
      <c r="J202" s="334"/>
    </row>
    <row r="203" spans="1:10" ht="18" hidden="1" customHeight="1" thickBot="1">
      <c r="A203" s="274"/>
      <c r="B203" s="293" t="s">
        <v>133</v>
      </c>
      <c r="C203" s="275"/>
      <c r="D203" s="275"/>
      <c r="E203" s="275"/>
      <c r="F203" s="275"/>
      <c r="G203" s="276"/>
      <c r="H203" s="326"/>
      <c r="I203" s="11"/>
      <c r="J203" s="11"/>
    </row>
    <row r="204" spans="1:10" ht="18" hidden="1" customHeight="1" thickBot="1">
      <c r="A204" s="279"/>
      <c r="B204" s="280"/>
      <c r="C204" s="280"/>
      <c r="D204" s="280" t="s">
        <v>539</v>
      </c>
      <c r="E204" s="280"/>
      <c r="F204" s="280"/>
      <c r="G204" s="281"/>
      <c r="H204" s="327">
        <v>0</v>
      </c>
      <c r="I204" s="336">
        <f>0</f>
        <v>0</v>
      </c>
      <c r="J204" s="12">
        <v>0</v>
      </c>
    </row>
    <row r="205" spans="1:10" ht="18" customHeight="1" thickBot="1">
      <c r="A205" s="298"/>
      <c r="B205" s="285" t="s">
        <v>567</v>
      </c>
      <c r="C205" s="321"/>
      <c r="D205" s="285"/>
      <c r="E205" s="321"/>
      <c r="F205" s="321"/>
      <c r="G205" s="322"/>
      <c r="H205" s="366">
        <v>0</v>
      </c>
      <c r="I205" s="367">
        <v>0</v>
      </c>
      <c r="J205" s="367">
        <v>0</v>
      </c>
    </row>
    <row r="206" spans="1:10" s="88" customFormat="1" ht="18" customHeight="1" thickBot="1">
      <c r="A206" s="284" t="s">
        <v>541</v>
      </c>
      <c r="B206" s="285"/>
      <c r="C206" s="285"/>
      <c r="D206" s="285"/>
      <c r="E206" s="285"/>
      <c r="F206" s="285"/>
      <c r="G206" s="286"/>
      <c r="H206" s="295">
        <f>SUM(H204+H201+H193+H181)</f>
        <v>7722324.4499999993</v>
      </c>
      <c r="I206" s="295">
        <f t="shared" ref="I206:J206" si="2">SUM(I204+I201+I193+I181)</f>
        <v>8849653.0800000019</v>
      </c>
      <c r="J206" s="295">
        <f t="shared" si="2"/>
        <v>10324591</v>
      </c>
    </row>
    <row r="207" spans="1:10" s="340" customFormat="1" ht="18" customHeight="1">
      <c r="A207" s="337"/>
      <c r="B207" s="337"/>
      <c r="C207" s="337"/>
      <c r="D207" s="337"/>
      <c r="E207" s="337"/>
      <c r="F207" s="337"/>
      <c r="G207" s="338"/>
      <c r="H207" s="339"/>
      <c r="I207" s="339"/>
      <c r="J207" s="339"/>
    </row>
    <row r="208" spans="1:10" s="340" customFormat="1" ht="18" customHeight="1">
      <c r="A208" s="337"/>
      <c r="B208" s="337"/>
      <c r="C208" s="337"/>
      <c r="D208" s="337"/>
      <c r="E208" s="337"/>
      <c r="F208" s="337"/>
      <c r="G208" s="338"/>
      <c r="H208" s="339"/>
      <c r="I208" s="339"/>
      <c r="J208" s="339"/>
    </row>
    <row r="209" spans="1:10" ht="18" customHeight="1">
      <c r="A209" s="377" t="s">
        <v>549</v>
      </c>
      <c r="B209" s="377"/>
      <c r="C209" s="377"/>
      <c r="D209" s="377"/>
      <c r="E209" s="377"/>
      <c r="F209" s="377"/>
      <c r="G209" s="378" t="s">
        <v>550</v>
      </c>
      <c r="H209" s="378"/>
      <c r="I209" s="378" t="s">
        <v>551</v>
      </c>
      <c r="J209" s="378"/>
    </row>
    <row r="210" spans="1:10" ht="18" customHeight="1">
      <c r="A210" s="377"/>
      <c r="B210" s="377"/>
      <c r="C210" s="377"/>
      <c r="D210" s="377"/>
      <c r="E210" s="377"/>
      <c r="F210" s="377"/>
      <c r="G210" s="378"/>
      <c r="H210" s="378"/>
      <c r="I210" s="378"/>
      <c r="J210" s="378"/>
    </row>
    <row r="211" spans="1:10" ht="18" customHeight="1">
      <c r="A211" s="341"/>
      <c r="B211" s="342"/>
      <c r="C211" s="341"/>
      <c r="D211" s="341"/>
      <c r="E211" s="341"/>
      <c r="F211" s="341"/>
      <c r="G211" s="343"/>
      <c r="H211" s="343"/>
      <c r="I211" s="16"/>
      <c r="J211" s="16"/>
    </row>
    <row r="212" spans="1:10" ht="18" customHeight="1">
      <c r="A212" s="341"/>
      <c r="B212" s="342"/>
      <c r="C212" s="341"/>
      <c r="D212" s="341"/>
      <c r="E212" s="341"/>
      <c r="F212" s="341"/>
      <c r="G212" s="343"/>
      <c r="H212" s="343"/>
      <c r="I212" s="16"/>
      <c r="J212" s="16"/>
    </row>
    <row r="213" spans="1:10" ht="18" customHeight="1">
      <c r="A213" s="341"/>
      <c r="B213" s="342"/>
      <c r="C213" s="341"/>
      <c r="D213" s="341"/>
      <c r="E213" s="341"/>
      <c r="F213" s="341"/>
      <c r="G213" s="343"/>
      <c r="H213" s="343"/>
      <c r="I213" s="16"/>
      <c r="J213" s="16"/>
    </row>
    <row r="214" spans="1:10" ht="18" customHeight="1">
      <c r="A214" s="341"/>
      <c r="B214" s="342"/>
      <c r="C214" s="341"/>
      <c r="D214" s="341"/>
      <c r="E214" s="341"/>
      <c r="F214" s="341"/>
      <c r="G214" s="343"/>
      <c r="H214" s="343"/>
      <c r="I214" s="16"/>
      <c r="J214" s="16"/>
    </row>
    <row r="215" spans="1:10" ht="18" customHeight="1">
      <c r="A215" s="341"/>
      <c r="B215" s="342"/>
      <c r="C215" s="341"/>
      <c r="D215" s="341"/>
      <c r="E215" s="341"/>
      <c r="F215" s="341"/>
      <c r="G215" s="343"/>
      <c r="H215" s="343"/>
      <c r="I215" s="16"/>
      <c r="J215" s="16"/>
    </row>
    <row r="216" spans="1:10" ht="18" customHeight="1">
      <c r="A216" s="341"/>
      <c r="B216" s="342"/>
      <c r="C216" s="341"/>
      <c r="D216" s="341"/>
      <c r="E216" s="341"/>
      <c r="F216" s="341"/>
      <c r="G216" s="343"/>
      <c r="H216" s="343"/>
      <c r="I216" s="16"/>
      <c r="J216" s="16"/>
    </row>
    <row r="217" spans="1:10" s="340" customFormat="1" ht="18" customHeight="1">
      <c r="B217" s="337"/>
      <c r="G217" s="338"/>
      <c r="H217" s="344"/>
      <c r="I217" s="339"/>
      <c r="J217" s="339"/>
    </row>
    <row r="218" spans="1:10" ht="18" customHeight="1">
      <c r="A218" s="341"/>
      <c r="B218" s="342"/>
      <c r="C218" s="341"/>
      <c r="D218" s="341"/>
      <c r="E218" s="341"/>
      <c r="F218" s="341"/>
      <c r="G218" s="343"/>
      <c r="H218" s="343"/>
      <c r="I218" s="16"/>
      <c r="J218" s="16"/>
    </row>
    <row r="219" spans="1:10" ht="18" customHeight="1">
      <c r="A219" s="341"/>
      <c r="B219" s="342"/>
      <c r="C219" s="341"/>
      <c r="D219" s="341"/>
      <c r="E219" s="341"/>
      <c r="F219" s="341"/>
      <c r="G219" s="343"/>
      <c r="H219" s="343"/>
      <c r="I219" s="16"/>
      <c r="J219" s="16"/>
    </row>
    <row r="220" spans="1:10" ht="18" customHeight="1">
      <c r="A220" s="341"/>
      <c r="B220" s="342"/>
      <c r="C220" s="341"/>
      <c r="D220" s="341"/>
      <c r="E220" s="341"/>
      <c r="F220" s="341"/>
      <c r="G220" s="343"/>
      <c r="H220" s="343"/>
      <c r="I220" s="16"/>
      <c r="J220" s="16"/>
    </row>
    <row r="221" spans="1:10" ht="18" customHeight="1">
      <c r="A221" s="341"/>
      <c r="B221" s="342"/>
      <c r="C221" s="341"/>
      <c r="D221" s="341"/>
      <c r="E221" s="341"/>
      <c r="F221" s="341"/>
      <c r="G221" s="343"/>
      <c r="H221" s="343"/>
      <c r="I221" s="16"/>
      <c r="J221" s="16"/>
    </row>
    <row r="222" spans="1:10" ht="18" customHeight="1">
      <c r="A222" s="341"/>
      <c r="B222" s="342"/>
      <c r="C222" s="341"/>
      <c r="D222" s="341"/>
      <c r="E222" s="341"/>
      <c r="F222" s="341"/>
      <c r="G222" s="343"/>
      <c r="H222" s="343"/>
      <c r="I222" s="16"/>
      <c r="J222" s="16"/>
    </row>
    <row r="223" spans="1:10" ht="18" customHeight="1">
      <c r="A223" s="341"/>
      <c r="B223" s="342"/>
      <c r="C223" s="341"/>
      <c r="D223" s="341"/>
      <c r="E223" s="341"/>
      <c r="F223" s="341"/>
      <c r="G223" s="343"/>
      <c r="H223" s="343"/>
      <c r="I223" s="16"/>
      <c r="J223" s="16"/>
    </row>
    <row r="224" spans="1:10" ht="18" customHeight="1">
      <c r="A224" s="341"/>
      <c r="B224" s="342"/>
      <c r="C224" s="341"/>
      <c r="D224" s="341"/>
      <c r="E224" s="341"/>
      <c r="F224" s="341"/>
      <c r="G224" s="343"/>
      <c r="H224" s="343"/>
      <c r="I224" s="16"/>
      <c r="J224" s="16"/>
    </row>
    <row r="225" spans="1:10" ht="18" customHeight="1">
      <c r="A225" s="341"/>
      <c r="B225" s="342"/>
      <c r="C225" s="341"/>
      <c r="D225" s="341"/>
      <c r="E225" s="341"/>
      <c r="F225" s="341"/>
      <c r="G225" s="343"/>
      <c r="H225" s="343"/>
      <c r="I225" s="16"/>
      <c r="J225" s="16"/>
    </row>
    <row r="226" spans="1:10" ht="18" customHeight="1">
      <c r="A226" s="341"/>
      <c r="B226" s="342"/>
      <c r="C226" s="341"/>
      <c r="D226" s="341"/>
      <c r="E226" s="341"/>
      <c r="F226" s="341"/>
      <c r="G226" s="343"/>
      <c r="H226" s="343"/>
      <c r="I226" s="16"/>
      <c r="J226" s="16"/>
    </row>
    <row r="227" spans="1:10" ht="18" customHeight="1">
      <c r="A227" s="341"/>
      <c r="B227" s="342"/>
      <c r="C227" s="341"/>
      <c r="D227" s="341"/>
      <c r="E227" s="341"/>
      <c r="F227" s="341"/>
      <c r="G227" s="343"/>
      <c r="H227" s="343"/>
      <c r="I227" s="16"/>
      <c r="J227" s="16"/>
    </row>
    <row r="228" spans="1:10" ht="18" customHeight="1">
      <c r="A228" s="341"/>
      <c r="B228" s="342"/>
      <c r="C228" s="341"/>
      <c r="D228" s="341"/>
      <c r="E228" s="341"/>
      <c r="F228" s="341"/>
      <c r="G228" s="343"/>
      <c r="H228" s="343"/>
      <c r="I228" s="16"/>
      <c r="J228" s="16"/>
    </row>
    <row r="229" spans="1:10" ht="18" customHeight="1">
      <c r="A229" s="341"/>
      <c r="B229" s="342"/>
      <c r="C229" s="341"/>
      <c r="D229" s="341"/>
      <c r="E229" s="341"/>
      <c r="F229" s="341"/>
      <c r="G229" s="343"/>
      <c r="H229" s="343"/>
      <c r="I229" s="16"/>
      <c r="J229" s="16"/>
    </row>
    <row r="230" spans="1:10" ht="18" customHeight="1">
      <c r="A230" s="341"/>
      <c r="B230" s="342"/>
      <c r="C230" s="341"/>
      <c r="D230" s="341"/>
      <c r="E230" s="341"/>
      <c r="F230" s="341"/>
      <c r="G230" s="343"/>
      <c r="H230" s="343"/>
      <c r="I230" s="16"/>
      <c r="J230" s="16"/>
    </row>
    <row r="231" spans="1:10" ht="18" customHeight="1">
      <c r="A231" s="341"/>
      <c r="B231" s="342"/>
      <c r="C231" s="341"/>
      <c r="D231" s="341"/>
      <c r="E231" s="341"/>
      <c r="F231" s="341"/>
      <c r="G231" s="343"/>
      <c r="H231" s="343"/>
      <c r="I231" s="16"/>
      <c r="J231" s="16"/>
    </row>
    <row r="232" spans="1:10" ht="18" customHeight="1">
      <c r="A232" s="341"/>
      <c r="B232" s="342"/>
      <c r="C232" s="341"/>
      <c r="D232" s="341"/>
      <c r="E232" s="341"/>
      <c r="F232" s="341"/>
      <c r="G232" s="343"/>
      <c r="H232" s="343"/>
      <c r="I232" s="16"/>
      <c r="J232" s="16"/>
    </row>
    <row r="233" spans="1:10" ht="18" customHeight="1">
      <c r="A233" s="341"/>
      <c r="B233" s="342"/>
      <c r="C233" s="341"/>
      <c r="D233" s="341"/>
      <c r="E233" s="341"/>
      <c r="F233" s="341"/>
      <c r="G233" s="343"/>
      <c r="H233" s="343"/>
      <c r="I233" s="16"/>
      <c r="J233" s="16"/>
    </row>
    <row r="234" spans="1:10" ht="18" customHeight="1">
      <c r="A234" s="341"/>
      <c r="B234" s="342"/>
      <c r="C234" s="341"/>
      <c r="D234" s="341"/>
      <c r="E234" s="341"/>
      <c r="F234" s="341"/>
      <c r="G234" s="343"/>
      <c r="H234" s="343"/>
      <c r="I234" s="16"/>
      <c r="J234" s="16"/>
    </row>
    <row r="235" spans="1:10" ht="18" customHeight="1">
      <c r="A235" s="341"/>
      <c r="B235" s="342"/>
      <c r="C235" s="341"/>
      <c r="D235" s="341"/>
      <c r="E235" s="341"/>
      <c r="F235" s="341"/>
      <c r="G235" s="343"/>
      <c r="H235" s="343"/>
      <c r="I235" s="16"/>
      <c r="J235" s="16"/>
    </row>
    <row r="236" spans="1:10" ht="18" customHeight="1">
      <c r="A236" s="341"/>
      <c r="B236" s="342"/>
      <c r="C236" s="341"/>
      <c r="D236" s="341"/>
      <c r="E236" s="341"/>
      <c r="F236" s="341"/>
      <c r="G236" s="343"/>
      <c r="H236" s="343"/>
      <c r="I236" s="16"/>
      <c r="J236" s="16"/>
    </row>
    <row r="237" spans="1:10" ht="18" customHeight="1">
      <c r="A237" s="341"/>
      <c r="B237" s="342"/>
      <c r="C237" s="341"/>
      <c r="D237" s="341"/>
      <c r="E237" s="341"/>
      <c r="F237" s="341"/>
      <c r="G237" s="343"/>
      <c r="H237" s="343"/>
      <c r="I237" s="16"/>
      <c r="J237" s="16"/>
    </row>
    <row r="238" spans="1:10" ht="18" customHeight="1">
      <c r="A238" s="341"/>
      <c r="B238" s="342"/>
      <c r="C238" s="341"/>
      <c r="D238" s="341"/>
      <c r="E238" s="341"/>
      <c r="F238" s="341"/>
      <c r="G238" s="343"/>
      <c r="H238" s="343"/>
      <c r="I238" s="16"/>
      <c r="J238" s="16"/>
    </row>
    <row r="239" spans="1:10" ht="18" customHeight="1">
      <c r="A239" s="341"/>
      <c r="B239" s="342"/>
      <c r="C239" s="341"/>
      <c r="D239" s="341"/>
      <c r="E239" s="341"/>
      <c r="F239" s="341"/>
      <c r="G239" s="343"/>
      <c r="H239" s="343"/>
      <c r="I239" s="16"/>
      <c r="J239" s="16"/>
    </row>
    <row r="240" spans="1:10" ht="18" customHeight="1">
      <c r="A240" s="341"/>
      <c r="B240" s="342"/>
      <c r="C240" s="341"/>
      <c r="D240" s="341"/>
      <c r="E240" s="341"/>
      <c r="F240" s="341"/>
      <c r="G240" s="343"/>
      <c r="H240" s="343"/>
      <c r="I240" s="16"/>
      <c r="J240" s="16"/>
    </row>
    <row r="241" spans="1:10" ht="18" customHeight="1">
      <c r="A241" s="341"/>
      <c r="B241" s="342"/>
      <c r="C241" s="341"/>
      <c r="D241" s="341"/>
      <c r="E241" s="341"/>
      <c r="F241" s="341"/>
      <c r="G241" s="343"/>
      <c r="H241" s="343"/>
      <c r="I241" s="16"/>
      <c r="J241" s="16"/>
    </row>
    <row r="242" spans="1:10" ht="18" customHeight="1">
      <c r="A242" s="341"/>
      <c r="B242" s="342"/>
      <c r="C242" s="341"/>
      <c r="D242" s="341"/>
      <c r="E242" s="341"/>
      <c r="F242" s="341"/>
      <c r="G242" s="343"/>
      <c r="H242" s="343"/>
      <c r="I242" s="16"/>
      <c r="J242" s="16"/>
    </row>
    <row r="243" spans="1:10" ht="18" customHeight="1">
      <c r="A243" s="341"/>
      <c r="B243" s="342"/>
      <c r="C243" s="341"/>
      <c r="D243" s="341"/>
      <c r="E243" s="341"/>
      <c r="F243" s="341"/>
      <c r="G243" s="343"/>
      <c r="H243" s="343"/>
      <c r="I243" s="16"/>
      <c r="J243" s="16"/>
    </row>
    <row r="244" spans="1:10" ht="18" customHeight="1">
      <c r="A244" s="341"/>
      <c r="B244" s="342"/>
      <c r="C244" s="341"/>
      <c r="D244" s="341"/>
      <c r="E244" s="341"/>
      <c r="F244" s="341"/>
      <c r="G244" s="343"/>
      <c r="H244" s="343"/>
      <c r="I244" s="16"/>
      <c r="J244" s="16"/>
    </row>
    <row r="245" spans="1:10" ht="18" customHeight="1">
      <c r="A245" s="341"/>
      <c r="B245" s="342"/>
      <c r="C245" s="341"/>
      <c r="D245" s="341"/>
      <c r="E245" s="341"/>
      <c r="F245" s="341"/>
      <c r="G245" s="343"/>
      <c r="H245" s="343"/>
      <c r="I245" s="16"/>
      <c r="J245" s="16"/>
    </row>
    <row r="246" spans="1:10" ht="18" customHeight="1">
      <c r="A246" s="341"/>
      <c r="B246" s="342"/>
      <c r="C246" s="341"/>
      <c r="D246" s="341"/>
      <c r="E246" s="341"/>
      <c r="F246" s="341"/>
      <c r="G246" s="343"/>
      <c r="H246" s="343"/>
      <c r="I246" s="16"/>
      <c r="J246" s="16"/>
    </row>
    <row r="247" spans="1:10" ht="18" customHeight="1">
      <c r="A247" s="341"/>
      <c r="B247" s="342"/>
      <c r="C247" s="341"/>
      <c r="D247" s="341"/>
      <c r="E247" s="341"/>
      <c r="F247" s="341"/>
      <c r="G247" s="343"/>
      <c r="H247" s="343"/>
      <c r="I247" s="16"/>
      <c r="J247" s="16"/>
    </row>
    <row r="248" spans="1:10" ht="18" customHeight="1">
      <c r="A248" s="341"/>
      <c r="B248" s="342"/>
      <c r="C248" s="341"/>
      <c r="D248" s="341"/>
      <c r="E248" s="341"/>
      <c r="F248" s="341"/>
      <c r="G248" s="343"/>
      <c r="H248" s="343"/>
      <c r="I248" s="16"/>
      <c r="J248" s="16"/>
    </row>
    <row r="249" spans="1:10" ht="18" customHeight="1">
      <c r="A249" s="341"/>
      <c r="B249" s="342"/>
      <c r="C249" s="341"/>
      <c r="D249" s="341"/>
      <c r="E249" s="341"/>
      <c r="F249" s="341"/>
      <c r="G249" s="343"/>
      <c r="H249" s="343"/>
      <c r="I249" s="16"/>
      <c r="J249" s="16"/>
    </row>
    <row r="250" spans="1:10" ht="18" customHeight="1">
      <c r="A250" s="341"/>
      <c r="B250" s="342"/>
      <c r="C250" s="341"/>
      <c r="D250" s="341"/>
      <c r="E250" s="341"/>
      <c r="F250" s="341"/>
      <c r="G250" s="343"/>
      <c r="H250" s="343"/>
      <c r="I250" s="16"/>
      <c r="J250" s="16"/>
    </row>
    <row r="251" spans="1:10" ht="18" customHeight="1">
      <c r="A251" s="341"/>
      <c r="B251" s="342"/>
      <c r="C251" s="341"/>
      <c r="D251" s="341"/>
      <c r="E251" s="341"/>
      <c r="F251" s="341"/>
      <c r="G251" s="343"/>
      <c r="H251" s="343"/>
      <c r="I251" s="16"/>
      <c r="J251" s="16"/>
    </row>
    <row r="252" spans="1:10" ht="18" customHeight="1">
      <c r="A252" s="341"/>
      <c r="B252" s="342"/>
      <c r="C252" s="341"/>
      <c r="D252" s="341"/>
      <c r="E252" s="341"/>
      <c r="F252" s="341"/>
      <c r="G252" s="343"/>
      <c r="H252" s="343"/>
      <c r="I252" s="16"/>
      <c r="J252" s="16"/>
    </row>
    <row r="253" spans="1:10" ht="18" customHeight="1">
      <c r="A253" s="341"/>
      <c r="B253" s="342"/>
      <c r="C253" s="341"/>
      <c r="D253" s="341"/>
      <c r="E253" s="341"/>
      <c r="F253" s="341"/>
      <c r="G253" s="343"/>
      <c r="H253" s="343"/>
      <c r="I253" s="16"/>
      <c r="J253" s="16"/>
    </row>
    <row r="254" spans="1:10" ht="18" customHeight="1">
      <c r="A254" s="341"/>
      <c r="B254" s="342"/>
      <c r="C254" s="341"/>
      <c r="D254" s="341"/>
      <c r="E254" s="341"/>
      <c r="F254" s="341"/>
      <c r="G254" s="343"/>
      <c r="H254" s="343"/>
      <c r="I254" s="16"/>
      <c r="J254" s="16"/>
    </row>
    <row r="255" spans="1:10" ht="18" customHeight="1">
      <c r="A255" s="341"/>
      <c r="B255" s="342"/>
      <c r="C255" s="341"/>
      <c r="D255" s="341"/>
      <c r="E255" s="341"/>
      <c r="F255" s="341"/>
      <c r="G255" s="343"/>
      <c r="H255" s="343"/>
      <c r="I255" s="16"/>
      <c r="J255" s="16"/>
    </row>
    <row r="256" spans="1:10" ht="18" customHeight="1">
      <c r="A256" s="341"/>
      <c r="B256" s="342"/>
      <c r="C256" s="341"/>
      <c r="D256" s="341"/>
      <c r="E256" s="341"/>
      <c r="F256" s="341"/>
      <c r="G256" s="343"/>
      <c r="H256" s="343"/>
      <c r="I256" s="16"/>
      <c r="J256" s="16"/>
    </row>
  </sheetData>
  <sheetProtection password="C1B6" sheet="1" objects="1" scenarios="1"/>
  <mergeCells count="24">
    <mergeCell ref="A149:J149"/>
    <mergeCell ref="A209:F210"/>
    <mergeCell ref="G209:H210"/>
    <mergeCell ref="I209:J210"/>
    <mergeCell ref="A154:F154"/>
    <mergeCell ref="A151:F151"/>
    <mergeCell ref="A106:J106"/>
    <mergeCell ref="A108:F108"/>
    <mergeCell ref="A111:F111"/>
    <mergeCell ref="A144:J144"/>
    <mergeCell ref="A146:E146"/>
    <mergeCell ref="A5:E5"/>
    <mergeCell ref="A8:J8"/>
    <mergeCell ref="A104:J104"/>
    <mergeCell ref="A10:F10"/>
    <mergeCell ref="A13:F13"/>
    <mergeCell ref="A96:J96"/>
    <mergeCell ref="A93:F94"/>
    <mergeCell ref="G93:H94"/>
    <mergeCell ref="I93:J94"/>
    <mergeCell ref="A101:J101"/>
    <mergeCell ref="A103:J103"/>
    <mergeCell ref="D83:F83"/>
    <mergeCell ref="A3:J3"/>
  </mergeCells>
  <printOptions horizontalCentered="1"/>
  <pageMargins left="0.25" right="0" top="0.5" bottom="0.5" header="0.5" footer="0"/>
  <pageSetup paperSize="14" scale="70" orientation="portrait" r:id="rId1"/>
  <headerFooter alignWithMargins="0">
    <oddFooter xml:space="preserve">&amp;C&amp;"Times New Roman,Bold"&amp;14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workbookViewId="0">
      <selection activeCell="A57" sqref="A57:K58"/>
    </sheetView>
  </sheetViews>
  <sheetFormatPr defaultRowHeight="15.75"/>
  <cols>
    <col min="1" max="1" width="2.28515625" style="74" customWidth="1"/>
    <col min="2" max="2" width="1.140625" style="74" customWidth="1"/>
    <col min="3" max="3" width="15.85546875" style="74" customWidth="1"/>
    <col min="4" max="4" width="12.85546875" style="74" customWidth="1"/>
    <col min="5" max="5" width="6.5703125" style="74" customWidth="1"/>
    <col min="6" max="6" width="15.28515625" style="74" customWidth="1"/>
    <col min="7" max="7" width="15.7109375" style="74" customWidth="1"/>
    <col min="8" max="8" width="10.140625" style="74" customWidth="1"/>
    <col min="9" max="9" width="13.7109375" style="74" customWidth="1"/>
    <col min="10" max="10" width="15.7109375" style="74" bestFit="1" customWidth="1"/>
    <col min="11" max="11" width="14.7109375" style="74" customWidth="1"/>
    <col min="12" max="16384" width="9.140625" style="74"/>
  </cols>
  <sheetData>
    <row r="1" spans="1:13" s="1" customFormat="1">
      <c r="A1" s="417" t="s">
        <v>298</v>
      </c>
      <c r="B1" s="417"/>
      <c r="C1" s="417"/>
      <c r="D1" s="417"/>
      <c r="E1" s="417"/>
      <c r="F1" s="417"/>
      <c r="G1" s="417"/>
      <c r="H1" s="417"/>
      <c r="I1" s="417"/>
      <c r="J1" s="417"/>
      <c r="K1" s="417"/>
    </row>
    <row r="2" spans="1:13" s="1" customFormat="1">
      <c r="A2" s="417" t="s">
        <v>23</v>
      </c>
      <c r="B2" s="417"/>
      <c r="C2" s="417"/>
      <c r="D2" s="417"/>
      <c r="E2" s="417"/>
      <c r="F2" s="417"/>
      <c r="G2" s="417"/>
      <c r="H2" s="417"/>
      <c r="I2" s="417"/>
      <c r="J2" s="417"/>
      <c r="K2" s="417"/>
    </row>
    <row r="3" spans="1:13" s="1" customFormat="1">
      <c r="A3" s="417" t="s">
        <v>369</v>
      </c>
      <c r="B3" s="417"/>
      <c r="C3" s="417"/>
      <c r="D3" s="417"/>
      <c r="E3" s="417"/>
      <c r="F3" s="417"/>
      <c r="G3" s="417"/>
      <c r="H3" s="417"/>
      <c r="I3" s="417"/>
      <c r="J3" s="417"/>
      <c r="K3" s="417"/>
    </row>
    <row r="4" spans="1:13" s="1" customFormat="1">
      <c r="A4" s="417"/>
      <c r="B4" s="417"/>
      <c r="C4" s="417"/>
      <c r="D4" s="417"/>
      <c r="E4" s="417"/>
      <c r="F4" s="417"/>
      <c r="G4" s="417"/>
      <c r="H4" s="417"/>
      <c r="I4" s="417"/>
      <c r="J4" s="417"/>
      <c r="K4" s="417"/>
    </row>
    <row r="5" spans="1:13" s="1" customFormat="1">
      <c r="A5" s="3"/>
      <c r="B5" s="3"/>
      <c r="C5" s="3"/>
      <c r="D5" s="3"/>
      <c r="E5" s="3"/>
      <c r="F5" s="3"/>
      <c r="G5" s="3"/>
      <c r="H5" s="3"/>
      <c r="I5" s="3"/>
      <c r="J5" s="3"/>
      <c r="K5" s="3"/>
      <c r="L5" s="3"/>
      <c r="M5" s="3"/>
    </row>
    <row r="6" spans="1:13" s="1" customFormat="1">
      <c r="A6" s="3"/>
      <c r="B6" s="3"/>
      <c r="C6" s="3"/>
      <c r="D6" s="3"/>
      <c r="E6" s="3"/>
      <c r="F6" s="3"/>
      <c r="G6" s="3"/>
      <c r="H6" s="3"/>
      <c r="I6" s="3"/>
      <c r="J6" s="3"/>
      <c r="K6" s="3"/>
      <c r="L6" s="3"/>
      <c r="M6" s="3"/>
    </row>
    <row r="7" spans="1:13" s="1" customFormat="1">
      <c r="A7" s="3"/>
      <c r="B7" s="3"/>
      <c r="C7" s="3"/>
      <c r="D7" s="3"/>
      <c r="E7" s="3"/>
      <c r="F7" s="3"/>
      <c r="G7" s="3"/>
      <c r="H7" s="3"/>
      <c r="I7" s="3"/>
      <c r="J7" s="3"/>
      <c r="K7" s="3"/>
      <c r="L7" s="3"/>
      <c r="M7" s="3"/>
    </row>
    <row r="8" spans="1:13" s="1" customFormat="1" ht="18">
      <c r="A8" s="418" t="s">
        <v>370</v>
      </c>
      <c r="B8" s="418"/>
      <c r="C8" s="418"/>
      <c r="D8" s="418"/>
      <c r="E8" s="418"/>
      <c r="F8" s="418"/>
      <c r="G8" s="418"/>
      <c r="H8" s="418"/>
      <c r="I8" s="418"/>
      <c r="J8" s="418"/>
      <c r="K8" s="418"/>
      <c r="L8" s="2"/>
      <c r="M8" s="2"/>
    </row>
    <row r="9" spans="1:13" s="1" customFormat="1">
      <c r="A9" s="105" t="s">
        <v>374</v>
      </c>
      <c r="B9" s="105"/>
      <c r="C9" s="105"/>
      <c r="D9" s="105"/>
      <c r="E9" s="105"/>
      <c r="F9" s="105"/>
      <c r="G9" s="105"/>
      <c r="H9" s="105"/>
      <c r="I9" s="105"/>
      <c r="J9" s="105"/>
      <c r="K9" s="105"/>
      <c r="L9" s="105"/>
      <c r="M9" s="105"/>
    </row>
    <row r="10" spans="1:13" s="1" customFormat="1">
      <c r="A10" s="1" t="s">
        <v>373</v>
      </c>
      <c r="I10" s="3"/>
      <c r="J10" s="3"/>
    </row>
    <row r="11" spans="1:13" s="1" customFormat="1">
      <c r="A11" s="1" t="s">
        <v>411</v>
      </c>
      <c r="I11" s="3"/>
      <c r="J11" s="3"/>
    </row>
    <row r="12" spans="1:13" s="1" customFormat="1" ht="9.9499999999999993" customHeight="1">
      <c r="A12" s="105" t="s">
        <v>375</v>
      </c>
      <c r="I12" s="3"/>
      <c r="J12" s="3"/>
    </row>
    <row r="14" spans="1:13" s="124" customFormat="1" ht="15.75" customHeight="1">
      <c r="A14" s="123" t="s">
        <v>477</v>
      </c>
      <c r="H14" s="125"/>
      <c r="I14" s="125"/>
      <c r="J14" s="125"/>
      <c r="K14" s="125"/>
      <c r="L14" s="125"/>
      <c r="M14" s="125"/>
    </row>
    <row r="16" spans="1:13">
      <c r="A16" s="411" t="s">
        <v>376</v>
      </c>
      <c r="B16" s="412"/>
      <c r="C16" s="412"/>
      <c r="D16" s="106"/>
      <c r="E16" s="106"/>
      <c r="F16" s="107" t="s">
        <v>377</v>
      </c>
      <c r="G16" s="415" t="s">
        <v>35</v>
      </c>
      <c r="H16" s="108" t="s">
        <v>378</v>
      </c>
      <c r="I16" s="412" t="s">
        <v>36</v>
      </c>
      <c r="J16" s="107" t="s">
        <v>413</v>
      </c>
      <c r="K16" s="415" t="s">
        <v>7</v>
      </c>
    </row>
    <row r="17" spans="1:11">
      <c r="A17" s="413"/>
      <c r="B17" s="414"/>
      <c r="C17" s="414"/>
      <c r="D17" s="109"/>
      <c r="E17" s="109"/>
      <c r="F17" s="110" t="s">
        <v>379</v>
      </c>
      <c r="G17" s="416"/>
      <c r="H17" s="111" t="s">
        <v>380</v>
      </c>
      <c r="I17" s="414"/>
      <c r="J17" s="110" t="s">
        <v>29</v>
      </c>
      <c r="K17" s="416"/>
    </row>
    <row r="18" spans="1:11">
      <c r="A18" s="112" t="s">
        <v>381</v>
      </c>
      <c r="B18" s="78" t="s">
        <v>382</v>
      </c>
      <c r="C18" s="78" t="s">
        <v>37</v>
      </c>
      <c r="D18" s="78"/>
      <c r="E18" s="78"/>
      <c r="F18" s="76">
        <f>'FORM1a-ABR Office'!M45</f>
        <v>15946699</v>
      </c>
      <c r="G18" s="113">
        <f>'FORM1a-ABR Office'!M59</f>
        <v>4687998</v>
      </c>
      <c r="H18" s="76">
        <v>0</v>
      </c>
      <c r="I18" s="76">
        <f>'FORM1a-ABR Office'!M66</f>
        <v>500000</v>
      </c>
      <c r="J18" s="76">
        <f>'FORM1a-ABR Office'!M199</f>
        <v>123540980.62</v>
      </c>
      <c r="K18" s="76">
        <f t="shared" ref="K18:K33" si="0">SUM(F18:J18)</f>
        <v>144675677.62</v>
      </c>
    </row>
    <row r="19" spans="1:11">
      <c r="A19" s="112" t="s">
        <v>383</v>
      </c>
      <c r="B19" s="78" t="s">
        <v>382</v>
      </c>
      <c r="C19" s="78" t="s">
        <v>38</v>
      </c>
      <c r="D19" s="78"/>
      <c r="E19" s="78"/>
      <c r="F19" s="76">
        <f>'FORM1a-ABR Office'!M243</f>
        <v>25323359</v>
      </c>
      <c r="G19" s="113">
        <f>'FORM1a-ABR Office'!M258</f>
        <v>8852400</v>
      </c>
      <c r="H19" s="76">
        <v>0</v>
      </c>
      <c r="I19" s="76">
        <f>'FORM1a-ABR Office'!M266</f>
        <v>1300000</v>
      </c>
      <c r="J19" s="76"/>
      <c r="K19" s="76">
        <f>SUM(F19:J19)</f>
        <v>35475759</v>
      </c>
    </row>
    <row r="20" spans="1:11">
      <c r="A20" s="112" t="s">
        <v>384</v>
      </c>
      <c r="B20" s="78" t="s">
        <v>382</v>
      </c>
      <c r="C20" s="78" t="s">
        <v>39</v>
      </c>
      <c r="D20" s="78"/>
      <c r="E20" s="78"/>
      <c r="F20" s="76">
        <f>'FORM1a-ABR Office'!M314</f>
        <v>2506154</v>
      </c>
      <c r="G20" s="113">
        <f>'FORM1a-ABR Office'!M323</f>
        <v>599821</v>
      </c>
      <c r="H20" s="76">
        <v>0</v>
      </c>
      <c r="I20" s="76">
        <f>'FORM1a-ABR Office'!M328</f>
        <v>0</v>
      </c>
      <c r="J20" s="76"/>
      <c r="K20" s="76">
        <f t="shared" si="0"/>
        <v>3105975</v>
      </c>
    </row>
    <row r="21" spans="1:11">
      <c r="A21" s="112" t="s">
        <v>385</v>
      </c>
      <c r="B21" s="78" t="s">
        <v>382</v>
      </c>
      <c r="C21" s="78" t="s">
        <v>40</v>
      </c>
      <c r="D21" s="78"/>
      <c r="E21" s="78"/>
      <c r="F21" s="76">
        <f>'FORM1a-ABR Office'!M374</f>
        <v>2220340</v>
      </c>
      <c r="G21" s="113">
        <f>'FORM1a-ABR Office'!M384</f>
        <v>245000</v>
      </c>
      <c r="H21" s="76">
        <v>0</v>
      </c>
      <c r="I21" s="76">
        <f>'FORM1a-ABR Office'!M389</f>
        <v>250000</v>
      </c>
      <c r="J21" s="76">
        <f>'FORM1a-ABR Office'!M391</f>
        <v>150000</v>
      </c>
      <c r="K21" s="76">
        <f t="shared" si="0"/>
        <v>2865340</v>
      </c>
    </row>
    <row r="22" spans="1:11">
      <c r="A22" s="112" t="s">
        <v>386</v>
      </c>
      <c r="B22" s="78" t="s">
        <v>382</v>
      </c>
      <c r="C22" s="78" t="s">
        <v>41</v>
      </c>
      <c r="D22" s="78"/>
      <c r="E22" s="78"/>
      <c r="F22" s="76">
        <f>'FORM1a-ABR Office'!M441</f>
        <v>3338977</v>
      </c>
      <c r="G22" s="113">
        <f>'[3]LBP NO. 2-Orig'!M489</f>
        <v>446000</v>
      </c>
      <c r="H22" s="76">
        <v>0</v>
      </c>
      <c r="I22" s="76">
        <f>'[3]LBP NO. 2-Orig'!M494</f>
        <v>0</v>
      </c>
      <c r="J22" s="76"/>
      <c r="K22" s="76">
        <f t="shared" si="0"/>
        <v>3784977</v>
      </c>
    </row>
    <row r="23" spans="1:11">
      <c r="A23" s="112" t="s">
        <v>387</v>
      </c>
      <c r="B23" s="78" t="s">
        <v>382</v>
      </c>
      <c r="C23" s="78" t="s">
        <v>42</v>
      </c>
      <c r="D23" s="78"/>
      <c r="E23" s="78"/>
      <c r="F23" s="76">
        <f>'[3]LBP NO. 2-Orig'!M555</f>
        <v>3386695</v>
      </c>
      <c r="G23" s="113">
        <f>'FORM1a-ABR Office'!M517</f>
        <v>786000</v>
      </c>
      <c r="H23" s="76">
        <v>0</v>
      </c>
      <c r="I23" s="76">
        <f>'FORM1a-ABR Office'!M523</f>
        <v>55000</v>
      </c>
      <c r="J23" s="76"/>
      <c r="K23" s="76">
        <f t="shared" si="0"/>
        <v>4227695</v>
      </c>
    </row>
    <row r="24" spans="1:11">
      <c r="A24" s="112" t="s">
        <v>388</v>
      </c>
      <c r="B24" s="78" t="s">
        <v>382</v>
      </c>
      <c r="C24" s="78" t="s">
        <v>43</v>
      </c>
      <c r="D24" s="78"/>
      <c r="E24" s="78"/>
      <c r="F24" s="76">
        <f>'FORM1a-ABR Office'!M576</f>
        <v>6096449</v>
      </c>
      <c r="G24" s="113">
        <f>'FORM1a-ABR Office'!M588</f>
        <v>1419000</v>
      </c>
      <c r="H24" s="76">
        <v>0</v>
      </c>
      <c r="I24" s="76">
        <f>'FORM1a-ABR Office'!M594</f>
        <v>190000</v>
      </c>
      <c r="J24" s="76"/>
      <c r="K24" s="76">
        <f t="shared" si="0"/>
        <v>7705449</v>
      </c>
    </row>
    <row r="25" spans="1:11">
      <c r="A25" s="112" t="s">
        <v>389</v>
      </c>
      <c r="B25" s="78" t="s">
        <v>382</v>
      </c>
      <c r="C25" s="78" t="s">
        <v>44</v>
      </c>
      <c r="D25" s="78"/>
      <c r="E25" s="78"/>
      <c r="F25" s="76">
        <f>'FORM1a-ABR Office'!M642</f>
        <v>3389658</v>
      </c>
      <c r="G25" s="113">
        <f>'FORM1a-ABR Office'!M653</f>
        <v>621500</v>
      </c>
      <c r="H25" s="76">
        <v>0</v>
      </c>
      <c r="I25" s="76">
        <f>'FORM1a-ABR Office'!M659</f>
        <v>160000</v>
      </c>
      <c r="J25" s="76"/>
      <c r="K25" s="76">
        <f t="shared" si="0"/>
        <v>4171158</v>
      </c>
    </row>
    <row r="26" spans="1:11">
      <c r="A26" s="112" t="s">
        <v>390</v>
      </c>
      <c r="B26" s="78" t="s">
        <v>382</v>
      </c>
      <c r="C26" s="78" t="s">
        <v>45</v>
      </c>
      <c r="D26" s="78"/>
      <c r="E26" s="78"/>
      <c r="F26" s="76">
        <f>'FORM1a-ABR Office'!M714</f>
        <v>2607260</v>
      </c>
      <c r="G26" s="113">
        <f>'FORM1a-ABR Office'!M724</f>
        <v>399000</v>
      </c>
      <c r="H26" s="76">
        <v>0</v>
      </c>
      <c r="I26" s="76">
        <f>'FORM1a-ABR Office'!M730</f>
        <v>160000</v>
      </c>
      <c r="J26" s="76"/>
      <c r="K26" s="76">
        <f t="shared" si="0"/>
        <v>3166260</v>
      </c>
    </row>
    <row r="27" spans="1:11">
      <c r="A27" s="112" t="s">
        <v>391</v>
      </c>
      <c r="B27" s="78" t="s">
        <v>382</v>
      </c>
      <c r="C27" s="78" t="s">
        <v>46</v>
      </c>
      <c r="D27" s="78"/>
      <c r="E27" s="78"/>
      <c r="F27" s="76">
        <f>'FORM1a-ABR Office'!M787</f>
        <v>5498312.7999999998</v>
      </c>
      <c r="G27" s="113">
        <f>'FORM1a-ABR Office'!M800</f>
        <v>7613000</v>
      </c>
      <c r="H27" s="76">
        <v>0</v>
      </c>
      <c r="I27" s="76">
        <f>'FORM1a-ABR Office'!M807</f>
        <v>300000</v>
      </c>
      <c r="J27" s="76"/>
      <c r="K27" s="76">
        <f t="shared" si="0"/>
        <v>13411312.800000001</v>
      </c>
    </row>
    <row r="28" spans="1:11">
      <c r="A28" s="112" t="s">
        <v>392</v>
      </c>
      <c r="B28" s="78" t="s">
        <v>382</v>
      </c>
      <c r="C28" s="78" t="s">
        <v>47</v>
      </c>
      <c r="D28" s="78"/>
      <c r="E28" s="78"/>
      <c r="F28" s="76">
        <f>'FORM1a-ABR Office'!M852</f>
        <v>5059389</v>
      </c>
      <c r="G28" s="113">
        <f>'FORM1a-ABR Office'!M865</f>
        <v>1511580</v>
      </c>
      <c r="H28" s="76">
        <v>0</v>
      </c>
      <c r="I28" s="76">
        <f>'FORM1a-ABR Office'!M875</f>
        <v>2165000</v>
      </c>
      <c r="J28" s="76"/>
      <c r="K28" s="76">
        <f t="shared" si="0"/>
        <v>8735969</v>
      </c>
    </row>
    <row r="29" spans="1:11">
      <c r="A29" s="112" t="s">
        <v>393</v>
      </c>
      <c r="B29" s="78" t="s">
        <v>382</v>
      </c>
      <c r="C29" s="78" t="s">
        <v>48</v>
      </c>
      <c r="D29" s="78"/>
      <c r="E29" s="78"/>
      <c r="F29" s="76">
        <f>'FORM1a-ABR Office'!M925</f>
        <v>12298904.289999999</v>
      </c>
      <c r="G29" s="113">
        <f>'FORM1a-ABR Office'!M937</f>
        <v>6334000</v>
      </c>
      <c r="H29" s="76">
        <v>0</v>
      </c>
      <c r="I29" s="76">
        <f>'FORM1a-ABR Office'!M943</f>
        <v>200000</v>
      </c>
      <c r="J29" s="76"/>
      <c r="K29" s="76">
        <f t="shared" si="0"/>
        <v>18832904.289999999</v>
      </c>
    </row>
    <row r="30" spans="1:11">
      <c r="A30" s="112" t="s">
        <v>394</v>
      </c>
      <c r="B30" s="78" t="s">
        <v>382</v>
      </c>
      <c r="C30" s="78" t="s">
        <v>49</v>
      </c>
      <c r="D30" s="78"/>
      <c r="E30" s="78"/>
      <c r="F30" s="76">
        <f>'FORM1a-ABR Office'!M993</f>
        <v>3431286</v>
      </c>
      <c r="G30" s="113">
        <f>'FORM1a-ABR Office'!M1002</f>
        <v>1880000</v>
      </c>
      <c r="H30" s="76">
        <v>0</v>
      </c>
      <c r="I30" s="76">
        <f>'FORM1a-ABR Office'!M1007</f>
        <v>150000</v>
      </c>
      <c r="J30" s="76"/>
      <c r="K30" s="76">
        <f t="shared" si="0"/>
        <v>5461286</v>
      </c>
    </row>
    <row r="31" spans="1:11">
      <c r="A31" s="112" t="s">
        <v>395</v>
      </c>
      <c r="B31" s="78" t="s">
        <v>382</v>
      </c>
      <c r="C31" s="78" t="s">
        <v>50</v>
      </c>
      <c r="D31" s="78"/>
      <c r="E31" s="78"/>
      <c r="F31" s="76">
        <f>'FORM1a-ABR Office'!M1059</f>
        <v>3109534</v>
      </c>
      <c r="G31" s="113">
        <f>'FORM1a-ABR Office'!M1068</f>
        <v>351000</v>
      </c>
      <c r="H31" s="76">
        <v>0</v>
      </c>
      <c r="I31" s="76">
        <f>'FORM1a-ABR Office'!M1073</f>
        <v>170000</v>
      </c>
      <c r="J31" s="76"/>
      <c r="K31" s="76">
        <f t="shared" si="0"/>
        <v>3630534</v>
      </c>
    </row>
    <row r="32" spans="1:11" ht="15.75" hidden="1" customHeight="1">
      <c r="A32" s="112" t="s">
        <v>396</v>
      </c>
      <c r="B32" s="78" t="s">
        <v>382</v>
      </c>
      <c r="C32" s="78" t="s">
        <v>397</v>
      </c>
      <c r="D32" s="78"/>
      <c r="E32" s="78"/>
      <c r="F32" s="76"/>
      <c r="G32" s="177"/>
      <c r="H32" s="76"/>
      <c r="I32" s="76"/>
      <c r="J32" s="76"/>
      <c r="K32" s="76">
        <f t="shared" si="0"/>
        <v>0</v>
      </c>
    </row>
    <row r="33" spans="1:11">
      <c r="A33" s="112" t="s">
        <v>396</v>
      </c>
      <c r="B33" s="78" t="s">
        <v>382</v>
      </c>
      <c r="C33" s="78" t="s">
        <v>398</v>
      </c>
      <c r="D33" s="78"/>
      <c r="E33" s="78"/>
      <c r="F33" s="76">
        <f>'FORM1a-ABR Office'!M1132</f>
        <v>8972591</v>
      </c>
      <c r="G33" s="113">
        <f>'FORM1a-ABR Office'!M1145</f>
        <v>1282000</v>
      </c>
      <c r="H33" s="76">
        <v>0</v>
      </c>
      <c r="I33" s="76">
        <f>'FORM1a-ABR Office'!M1152</f>
        <v>70000</v>
      </c>
      <c r="J33" s="76"/>
      <c r="K33" s="76">
        <f t="shared" si="0"/>
        <v>10324591</v>
      </c>
    </row>
    <row r="34" spans="1:11" hidden="1">
      <c r="A34" s="112" t="s">
        <v>399</v>
      </c>
      <c r="B34" s="78" t="s">
        <v>382</v>
      </c>
      <c r="C34" s="78" t="s">
        <v>400</v>
      </c>
      <c r="D34" s="78"/>
      <c r="E34" s="78"/>
      <c r="F34" s="76"/>
      <c r="G34" s="114"/>
      <c r="H34" s="76"/>
      <c r="I34" s="76"/>
      <c r="J34" s="76"/>
      <c r="K34" s="76">
        <f>SUM(F34:I34)</f>
        <v>0</v>
      </c>
    </row>
    <row r="35" spans="1:11">
      <c r="A35" s="112"/>
      <c r="B35" s="78"/>
      <c r="C35" s="78"/>
      <c r="D35" s="78"/>
      <c r="E35" s="78"/>
      <c r="F35" s="76"/>
      <c r="G35" s="113"/>
      <c r="H35" s="76"/>
      <c r="I35" s="76"/>
      <c r="J35" s="76"/>
      <c r="K35" s="76"/>
    </row>
    <row r="36" spans="1:11" s="75" customFormat="1">
      <c r="A36" s="115" t="s">
        <v>59</v>
      </c>
      <c r="B36" s="116"/>
      <c r="C36" s="117"/>
      <c r="D36" s="115"/>
      <c r="E36" s="117"/>
      <c r="F36" s="79">
        <f>SUM(F18:F35)</f>
        <v>103185608.09</v>
      </c>
      <c r="G36" s="79">
        <f t="shared" ref="G36:J36" si="1">SUM(G18:G35)</f>
        <v>37028299</v>
      </c>
      <c r="H36" s="79">
        <f t="shared" si="1"/>
        <v>0</v>
      </c>
      <c r="I36" s="79">
        <f t="shared" si="1"/>
        <v>5670000</v>
      </c>
      <c r="J36" s="79">
        <f t="shared" si="1"/>
        <v>123690980.62</v>
      </c>
      <c r="K36" s="79">
        <f>SUM(K18:K35)</f>
        <v>269574887.71000004</v>
      </c>
    </row>
    <row r="37" spans="1:11">
      <c r="F37" s="80"/>
      <c r="G37" s="80"/>
      <c r="H37" s="80"/>
      <c r="I37" s="80"/>
      <c r="J37" s="80"/>
      <c r="K37" s="80"/>
    </row>
    <row r="38" spans="1:11" ht="15.75" customHeight="1">
      <c r="A38" s="421" t="s">
        <v>414</v>
      </c>
      <c r="B38" s="421"/>
      <c r="C38" s="421"/>
      <c r="D38" s="421"/>
      <c r="E38" s="421"/>
      <c r="F38" s="421"/>
      <c r="G38" s="421"/>
      <c r="H38" s="421"/>
      <c r="I38" s="421"/>
      <c r="J38" s="421"/>
      <c r="K38" s="421"/>
    </row>
    <row r="39" spans="1:11">
      <c r="A39" s="421"/>
      <c r="B39" s="421"/>
      <c r="C39" s="421"/>
      <c r="D39" s="421"/>
      <c r="E39" s="421"/>
      <c r="F39" s="421"/>
      <c r="G39" s="421"/>
      <c r="H39" s="421"/>
      <c r="I39" s="421"/>
      <c r="J39" s="421"/>
      <c r="K39" s="421"/>
    </row>
    <row r="40" spans="1:11">
      <c r="A40" s="421"/>
      <c r="B40" s="421"/>
      <c r="C40" s="421"/>
      <c r="D40" s="421"/>
      <c r="E40" s="421"/>
      <c r="F40" s="421"/>
      <c r="G40" s="421"/>
      <c r="H40" s="421"/>
      <c r="I40" s="421"/>
      <c r="J40" s="421"/>
      <c r="K40" s="421"/>
    </row>
    <row r="41" spans="1:11">
      <c r="A41" s="421"/>
      <c r="B41" s="421"/>
      <c r="C41" s="421"/>
      <c r="D41" s="421"/>
      <c r="E41" s="421"/>
      <c r="F41" s="421"/>
      <c r="G41" s="421"/>
      <c r="H41" s="421"/>
      <c r="I41" s="421"/>
      <c r="J41" s="421"/>
      <c r="K41" s="421"/>
    </row>
    <row r="42" spans="1:11">
      <c r="A42" s="118"/>
      <c r="B42" s="118"/>
      <c r="C42" s="118"/>
      <c r="D42" s="118"/>
      <c r="E42" s="118"/>
      <c r="F42" s="118"/>
      <c r="G42" s="118"/>
      <c r="H42" s="118"/>
      <c r="I42" s="118"/>
      <c r="J42" s="118"/>
      <c r="K42" s="118"/>
    </row>
    <row r="43" spans="1:11" ht="15.75" customHeight="1">
      <c r="A43" s="421" t="s">
        <v>401</v>
      </c>
      <c r="B43" s="421"/>
      <c r="C43" s="421"/>
      <c r="D43" s="421"/>
      <c r="E43" s="421"/>
      <c r="F43" s="421"/>
      <c r="G43" s="421"/>
      <c r="H43" s="421"/>
      <c r="I43" s="421"/>
      <c r="J43" s="421"/>
      <c r="K43" s="421"/>
    </row>
    <row r="44" spans="1:11">
      <c r="A44" s="421"/>
      <c r="B44" s="421"/>
      <c r="C44" s="421"/>
      <c r="D44" s="421"/>
      <c r="E44" s="421"/>
      <c r="F44" s="421"/>
      <c r="G44" s="421"/>
      <c r="H44" s="421"/>
      <c r="I44" s="421"/>
      <c r="J44" s="421"/>
      <c r="K44" s="421"/>
    </row>
    <row r="45" spans="1:11">
      <c r="A45" s="421"/>
      <c r="B45" s="421"/>
      <c r="C45" s="421"/>
      <c r="D45" s="421"/>
      <c r="E45" s="421"/>
      <c r="F45" s="421"/>
      <c r="G45" s="421"/>
      <c r="H45" s="421"/>
      <c r="I45" s="421"/>
      <c r="J45" s="421"/>
      <c r="K45" s="421"/>
    </row>
    <row r="46" spans="1:11">
      <c r="A46" s="119"/>
      <c r="B46" s="119"/>
      <c r="C46" s="119"/>
      <c r="D46" s="119"/>
      <c r="E46" s="119"/>
      <c r="F46" s="119"/>
      <c r="G46" s="119"/>
      <c r="H46" s="119"/>
      <c r="I46" s="119"/>
      <c r="J46" s="119"/>
      <c r="K46" s="119"/>
    </row>
    <row r="47" spans="1:11">
      <c r="A47" s="421" t="s">
        <v>402</v>
      </c>
      <c r="B47" s="421"/>
      <c r="C47" s="421"/>
      <c r="D47" s="421"/>
      <c r="E47" s="421"/>
      <c r="F47" s="421"/>
      <c r="G47" s="421"/>
      <c r="H47" s="421"/>
      <c r="I47" s="421"/>
      <c r="J47" s="421"/>
      <c r="K47" s="421"/>
    </row>
    <row r="48" spans="1:11">
      <c r="A48" s="421"/>
      <c r="B48" s="421"/>
      <c r="C48" s="421"/>
      <c r="D48" s="421"/>
      <c r="E48" s="421"/>
      <c r="F48" s="421"/>
      <c r="G48" s="421"/>
      <c r="H48" s="421"/>
      <c r="I48" s="421"/>
      <c r="J48" s="421"/>
      <c r="K48" s="421"/>
    </row>
    <row r="49" spans="1:11">
      <c r="A49" s="119"/>
      <c r="B49" s="119"/>
      <c r="C49" s="119"/>
      <c r="D49" s="119"/>
      <c r="E49" s="119"/>
      <c r="F49" s="119"/>
      <c r="G49" s="119"/>
      <c r="H49" s="119"/>
      <c r="I49" s="119"/>
      <c r="J49" s="119"/>
      <c r="K49" s="119"/>
    </row>
    <row r="50" spans="1:11">
      <c r="A50" s="421" t="s">
        <v>415</v>
      </c>
      <c r="B50" s="421"/>
      <c r="C50" s="421"/>
      <c r="D50" s="421"/>
      <c r="E50" s="421"/>
      <c r="F50" s="421"/>
      <c r="G50" s="421"/>
      <c r="H50" s="421"/>
      <c r="I50" s="421"/>
      <c r="J50" s="421"/>
      <c r="K50" s="421"/>
    </row>
    <row r="51" spans="1:11">
      <c r="A51" s="421"/>
      <c r="B51" s="421"/>
      <c r="C51" s="421"/>
      <c r="D51" s="421"/>
      <c r="E51" s="421"/>
      <c r="F51" s="421"/>
      <c r="G51" s="421"/>
      <c r="H51" s="421"/>
      <c r="I51" s="421"/>
      <c r="J51" s="421"/>
      <c r="K51" s="421"/>
    </row>
    <row r="52" spans="1:11">
      <c r="A52" s="119"/>
      <c r="B52" s="119"/>
      <c r="C52" s="119"/>
      <c r="D52" s="119"/>
      <c r="E52" s="119"/>
      <c r="F52" s="119"/>
      <c r="G52" s="119"/>
      <c r="H52" s="119"/>
      <c r="I52" s="119"/>
      <c r="J52" s="119"/>
      <c r="K52" s="119"/>
    </row>
    <row r="53" spans="1:11" ht="15" customHeight="1">
      <c r="A53" s="421" t="s">
        <v>403</v>
      </c>
      <c r="B53" s="421"/>
      <c r="C53" s="421"/>
      <c r="D53" s="421"/>
      <c r="E53" s="421"/>
      <c r="F53" s="421"/>
      <c r="G53" s="421"/>
      <c r="H53" s="421"/>
      <c r="I53" s="421"/>
      <c r="J53" s="421"/>
      <c r="K53" s="421"/>
    </row>
    <row r="54" spans="1:11">
      <c r="A54" s="421"/>
      <c r="B54" s="421"/>
      <c r="C54" s="421"/>
      <c r="D54" s="421"/>
      <c r="E54" s="421"/>
      <c r="F54" s="421"/>
      <c r="G54" s="421"/>
      <c r="H54" s="421"/>
      <c r="I54" s="421"/>
      <c r="J54" s="421"/>
      <c r="K54" s="421"/>
    </row>
    <row r="55" spans="1:11">
      <c r="A55" s="421"/>
      <c r="B55" s="421"/>
      <c r="C55" s="421"/>
      <c r="D55" s="421"/>
      <c r="E55" s="421"/>
      <c r="F55" s="421"/>
      <c r="G55" s="421"/>
      <c r="H55" s="421"/>
      <c r="I55" s="421"/>
      <c r="J55" s="421"/>
      <c r="K55" s="421"/>
    </row>
    <row r="56" spans="1:11">
      <c r="A56" s="118"/>
      <c r="B56" s="118"/>
      <c r="C56" s="118"/>
      <c r="D56" s="118"/>
      <c r="E56" s="118"/>
      <c r="F56" s="118"/>
      <c r="G56" s="118"/>
      <c r="H56" s="118"/>
      <c r="I56" s="118"/>
      <c r="J56" s="118"/>
      <c r="K56" s="118"/>
    </row>
    <row r="57" spans="1:11">
      <c r="A57" s="421" t="s">
        <v>404</v>
      </c>
      <c r="B57" s="421"/>
      <c r="C57" s="421"/>
      <c r="D57" s="421"/>
      <c r="E57" s="421"/>
      <c r="F57" s="421"/>
      <c r="G57" s="421"/>
      <c r="H57" s="421"/>
      <c r="I57" s="421"/>
      <c r="J57" s="421"/>
      <c r="K57" s="421"/>
    </row>
    <row r="58" spans="1:11">
      <c r="A58" s="421"/>
      <c r="B58" s="421"/>
      <c r="C58" s="421"/>
      <c r="D58" s="421"/>
      <c r="E58" s="421"/>
      <c r="F58" s="421"/>
      <c r="G58" s="421"/>
      <c r="H58" s="421"/>
      <c r="I58" s="421"/>
      <c r="J58" s="421"/>
      <c r="K58" s="421"/>
    </row>
    <row r="59" spans="1:11">
      <c r="A59" s="119"/>
      <c r="B59" s="119"/>
      <c r="C59" s="119"/>
      <c r="D59" s="119"/>
      <c r="E59" s="119"/>
      <c r="F59" s="119"/>
      <c r="G59" s="119"/>
      <c r="H59" s="119"/>
      <c r="I59" s="119"/>
      <c r="J59" s="119"/>
      <c r="K59" s="119"/>
    </row>
    <row r="60" spans="1:11" ht="16.5" customHeight="1">
      <c r="A60" s="419" t="s">
        <v>371</v>
      </c>
      <c r="B60" s="419"/>
      <c r="C60" s="419"/>
      <c r="D60" s="419"/>
      <c r="E60" s="419"/>
      <c r="F60" s="419"/>
      <c r="G60" s="419"/>
      <c r="H60" s="419"/>
      <c r="I60" s="419"/>
      <c r="J60" s="419"/>
      <c r="K60" s="419"/>
    </row>
    <row r="61" spans="1:11">
      <c r="A61" s="120"/>
      <c r="B61" s="120"/>
      <c r="C61" s="120"/>
      <c r="D61" s="120"/>
      <c r="E61" s="120"/>
      <c r="F61" s="120"/>
      <c r="G61" s="120"/>
      <c r="H61" s="120"/>
      <c r="I61" s="120"/>
      <c r="J61" s="120"/>
      <c r="K61" s="120"/>
    </row>
    <row r="62" spans="1:11">
      <c r="A62" s="120"/>
      <c r="B62" s="120"/>
      <c r="C62" s="120"/>
      <c r="D62" s="120"/>
      <c r="E62" s="120"/>
      <c r="F62" s="120"/>
      <c r="G62" s="120"/>
      <c r="H62" s="120"/>
      <c r="I62" s="120"/>
      <c r="J62" s="120"/>
      <c r="K62" s="120"/>
    </row>
    <row r="63" spans="1:11">
      <c r="A63" s="120"/>
      <c r="B63" s="120"/>
      <c r="C63" s="120"/>
      <c r="D63" s="120"/>
      <c r="E63" s="120"/>
      <c r="F63" s="122"/>
      <c r="G63" s="120"/>
      <c r="H63" s="120"/>
      <c r="I63" s="120"/>
      <c r="J63" s="120"/>
      <c r="K63" s="120"/>
    </row>
    <row r="64" spans="1:11">
      <c r="A64" s="120"/>
      <c r="B64" s="120"/>
      <c r="C64" s="120"/>
      <c r="D64" s="120"/>
      <c r="E64" s="120"/>
      <c r="F64" s="122"/>
      <c r="G64" s="120"/>
      <c r="H64" s="120"/>
      <c r="I64" s="120"/>
      <c r="J64" s="120"/>
      <c r="K64" s="120"/>
    </row>
    <row r="65" spans="1:11">
      <c r="A65" s="120"/>
      <c r="B65" s="120"/>
      <c r="C65" s="120"/>
      <c r="D65" s="120"/>
      <c r="E65" s="120"/>
      <c r="F65" s="122"/>
      <c r="G65" s="120"/>
      <c r="H65" s="120"/>
      <c r="I65" s="120"/>
      <c r="J65" s="120"/>
      <c r="K65" s="120"/>
    </row>
    <row r="66" spans="1:11">
      <c r="A66" s="120"/>
      <c r="B66" s="120"/>
      <c r="C66" s="120"/>
      <c r="D66" s="120"/>
      <c r="E66" s="120"/>
      <c r="F66" s="120"/>
      <c r="G66" s="120"/>
      <c r="H66" s="120"/>
      <c r="I66" s="120"/>
      <c r="J66" s="120"/>
      <c r="K66" s="120"/>
    </row>
    <row r="67" spans="1:11">
      <c r="A67" s="121"/>
      <c r="B67" s="121"/>
      <c r="C67" s="121"/>
      <c r="D67" s="121"/>
      <c r="E67" s="121"/>
      <c r="F67" s="121"/>
      <c r="G67" s="121"/>
      <c r="H67" s="121"/>
      <c r="I67" s="121"/>
      <c r="J67" s="121"/>
      <c r="K67" s="121"/>
    </row>
    <row r="68" spans="1:11">
      <c r="A68" s="121"/>
      <c r="B68" s="121"/>
      <c r="C68" s="121"/>
      <c r="D68" s="121"/>
      <c r="E68" s="121"/>
      <c r="F68" s="121"/>
      <c r="G68" s="121"/>
      <c r="H68" s="121"/>
      <c r="I68" s="121"/>
      <c r="J68" s="121"/>
      <c r="K68" s="121"/>
    </row>
    <row r="69" spans="1:11" ht="23.25">
      <c r="A69" s="420"/>
      <c r="B69" s="420"/>
      <c r="C69" s="420"/>
      <c r="D69" s="420"/>
      <c r="E69" s="420"/>
      <c r="F69" s="420"/>
      <c r="G69" s="420"/>
      <c r="H69" s="420"/>
      <c r="I69" s="420"/>
      <c r="J69" s="420"/>
      <c r="K69" s="420"/>
    </row>
    <row r="70" spans="1:11">
      <c r="A70" s="121"/>
      <c r="B70" s="121"/>
      <c r="C70" s="121"/>
      <c r="D70" s="121"/>
      <c r="E70" s="121"/>
      <c r="F70" s="121"/>
      <c r="G70" s="121"/>
      <c r="H70" s="121"/>
      <c r="I70" s="121"/>
      <c r="J70" s="121"/>
      <c r="K70" s="121"/>
    </row>
    <row r="71" spans="1:11">
      <c r="A71" s="121"/>
      <c r="B71" s="121"/>
      <c r="C71" s="121"/>
      <c r="D71" s="121"/>
      <c r="E71" s="121"/>
      <c r="F71" s="121"/>
      <c r="G71" s="121"/>
      <c r="H71" s="121"/>
      <c r="I71" s="121"/>
      <c r="J71" s="121"/>
      <c r="K71" s="121"/>
    </row>
    <row r="72" spans="1:11">
      <c r="A72" s="121"/>
      <c r="B72" s="121"/>
      <c r="C72" s="121"/>
      <c r="D72" s="121"/>
      <c r="E72" s="121"/>
      <c r="F72" s="121"/>
      <c r="G72" s="121"/>
      <c r="H72" s="121"/>
      <c r="I72" s="121"/>
      <c r="J72" s="121"/>
      <c r="K72" s="121"/>
    </row>
  </sheetData>
  <sheetProtection password="C1B6" sheet="1" objects="1" scenarios="1"/>
  <mergeCells count="17">
    <mergeCell ref="A60:K60"/>
    <mergeCell ref="A69:K69"/>
    <mergeCell ref="A38:K41"/>
    <mergeCell ref="A43:K45"/>
    <mergeCell ref="A47:K48"/>
    <mergeCell ref="A50:K51"/>
    <mergeCell ref="A53:K55"/>
    <mergeCell ref="A57:K58"/>
    <mergeCell ref="A16:C17"/>
    <mergeCell ref="G16:G17"/>
    <mergeCell ref="I16:I17"/>
    <mergeCell ref="K16:K17"/>
    <mergeCell ref="A1:K1"/>
    <mergeCell ref="A2:K2"/>
    <mergeCell ref="A3:K3"/>
    <mergeCell ref="A4:K4"/>
    <mergeCell ref="A8:K8"/>
  </mergeCells>
  <printOptions horizontalCentered="1"/>
  <pageMargins left="0" right="0" top="0.75" bottom="0" header="0.3" footer="0.3"/>
  <pageSetup paperSize="14"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FORM1a-ABR Office</vt:lpstr>
      <vt:lpstr>FORM1B-ABR Summary</vt:lpstr>
      <vt:lpstr>summary</vt:lpstr>
      <vt:lpstr>'FORM1B-ABR Summary'!Print_Area</vt:lpstr>
      <vt:lpstr>summary!Print_Area</vt:lpstr>
      <vt:lpstr>'FORM1B-ABR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2025-02-13T03:15:28Z</cp:lastPrinted>
  <dcterms:created xsi:type="dcterms:W3CDTF">2006-05-18T08:42:29Z</dcterms:created>
  <dcterms:modified xsi:type="dcterms:W3CDTF">2025-02-13T06:15:08Z</dcterms:modified>
</cp:coreProperties>
</file>